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gomez\Documents\SyT\IXPs\Mediciones transporte\"/>
    </mc:Choice>
  </mc:AlternateContent>
  <bookViews>
    <workbookView xWindow="0" yWindow="0" windowWidth="20490" windowHeight="7755" activeTab="7"/>
  </bookViews>
  <sheets>
    <sheet name="2022-01" sheetId="27" r:id="rId1"/>
    <sheet name="2022-02" sheetId="28" r:id="rId2"/>
    <sheet name="2022-03" sheetId="29" r:id="rId3"/>
    <sheet name="2022-04" sheetId="30" r:id="rId4"/>
    <sheet name="2022-05" sheetId="31" r:id="rId5"/>
    <sheet name="2022-05 correg" sheetId="32" state="hidden" r:id="rId6"/>
    <sheet name="2022-06" sheetId="33" r:id="rId7"/>
    <sheet name="2022-07" sheetId="34" r:id="rId8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" i="34" l="1"/>
  <c r="K26" i="34"/>
  <c r="M26" i="34" s="1"/>
  <c r="J26" i="34"/>
  <c r="L26" i="34" s="1"/>
  <c r="L16" i="34"/>
  <c r="L15" i="34"/>
  <c r="J22" i="34"/>
  <c r="J21" i="34"/>
  <c r="J19" i="34"/>
  <c r="J18" i="34"/>
  <c r="J17" i="34"/>
  <c r="J16" i="34"/>
  <c r="B5" i="34"/>
  <c r="B6" i="34"/>
  <c r="D20" i="34"/>
  <c r="D26" i="34" s="1"/>
  <c r="D15" i="34"/>
  <c r="D16" i="34"/>
  <c r="D19" i="34"/>
  <c r="D22" i="34"/>
  <c r="D21" i="34"/>
  <c r="D18" i="34"/>
  <c r="D17" i="34"/>
  <c r="I26" i="34"/>
  <c r="F26" i="34"/>
  <c r="E26" i="34"/>
  <c r="C26" i="34"/>
  <c r="B26" i="34"/>
  <c r="G22" i="34"/>
  <c r="G21" i="34"/>
  <c r="K20" i="34"/>
  <c r="G20" i="34"/>
  <c r="G19" i="34"/>
  <c r="G18" i="34"/>
  <c r="G17" i="34"/>
  <c r="G16" i="34"/>
  <c r="H20" i="34" l="1"/>
  <c r="H19" i="34"/>
  <c r="H18" i="34"/>
  <c r="H17" i="34"/>
  <c r="H22" i="34"/>
  <c r="G15" i="34"/>
  <c r="H16" i="34"/>
  <c r="H21" i="34"/>
  <c r="B7" i="33"/>
  <c r="D20" i="33"/>
  <c r="D15" i="33"/>
  <c r="D16" i="33"/>
  <c r="D19" i="33"/>
  <c r="D22" i="33"/>
  <c r="G22" i="33" s="1"/>
  <c r="D21" i="33"/>
  <c r="D18" i="33"/>
  <c r="G18" i="33" s="1"/>
  <c r="D17" i="33"/>
  <c r="I26" i="33"/>
  <c r="F26" i="33"/>
  <c r="E26" i="33"/>
  <c r="C26" i="33"/>
  <c r="B26" i="33"/>
  <c r="G21" i="33"/>
  <c r="K20" i="33"/>
  <c r="G20" i="33"/>
  <c r="G19" i="33"/>
  <c r="G17" i="33"/>
  <c r="G16" i="33"/>
  <c r="G15" i="33"/>
  <c r="B5" i="33"/>
  <c r="L17" i="34" l="1"/>
  <c r="K17" i="34"/>
  <c r="M17" i="34" s="1"/>
  <c r="K16" i="34"/>
  <c r="L18" i="34"/>
  <c r="K18" i="34"/>
  <c r="M18" i="34" s="1"/>
  <c r="L22" i="34"/>
  <c r="K22" i="34"/>
  <c r="M22" i="34" s="1"/>
  <c r="L19" i="34"/>
  <c r="K19" i="34"/>
  <c r="M19" i="34" s="1"/>
  <c r="K21" i="34"/>
  <c r="M21" i="34" s="1"/>
  <c r="L21" i="34"/>
  <c r="G26" i="34"/>
  <c r="H15" i="34"/>
  <c r="H26" i="34" s="1"/>
  <c r="H15" i="33"/>
  <c r="H20" i="33"/>
  <c r="H16" i="33"/>
  <c r="J16" i="33" s="1"/>
  <c r="H17" i="33"/>
  <c r="J17" i="33" s="1"/>
  <c r="H18" i="33"/>
  <c r="J18" i="33" s="1"/>
  <c r="H21" i="33"/>
  <c r="J21" i="33"/>
  <c r="H22" i="33"/>
  <c r="J22" i="33" s="1"/>
  <c r="G26" i="33"/>
  <c r="H19" i="33"/>
  <c r="J19" i="33" s="1"/>
  <c r="D26" i="33"/>
  <c r="P17" i="32"/>
  <c r="P18" i="32"/>
  <c r="P19" i="32"/>
  <c r="P20" i="32"/>
  <c r="P21" i="32"/>
  <c r="P22" i="32"/>
  <c r="P15" i="32"/>
  <c r="P16" i="32"/>
  <c r="O16" i="32"/>
  <c r="O17" i="32"/>
  <c r="O18" i="32"/>
  <c r="O19" i="32"/>
  <c r="O20" i="32"/>
  <c r="O21" i="32"/>
  <c r="O22" i="32"/>
  <c r="O15" i="32"/>
  <c r="I26" i="32"/>
  <c r="F26" i="32"/>
  <c r="E26" i="32"/>
  <c r="C26" i="32"/>
  <c r="B26" i="32"/>
  <c r="G22" i="32"/>
  <c r="D22" i="32"/>
  <c r="D21" i="32"/>
  <c r="G21" i="32" s="1"/>
  <c r="K20" i="32"/>
  <c r="G20" i="32"/>
  <c r="H20" i="32" s="1"/>
  <c r="D19" i="32"/>
  <c r="G19" i="32" s="1"/>
  <c r="G18" i="32"/>
  <c r="D18" i="32"/>
  <c r="D17" i="32"/>
  <c r="G17" i="32" s="1"/>
  <c r="D16" i="32"/>
  <c r="G16" i="32" s="1"/>
  <c r="D15" i="32"/>
  <c r="G15" i="32" s="1"/>
  <c r="B7" i="32"/>
  <c r="B5" i="32"/>
  <c r="M16" i="34" l="1"/>
  <c r="K19" i="33"/>
  <c r="M19" i="33" s="1"/>
  <c r="L19" i="33"/>
  <c r="J26" i="33"/>
  <c r="L26" i="33" s="1"/>
  <c r="L16" i="33"/>
  <c r="K16" i="33"/>
  <c r="L22" i="33"/>
  <c r="K22" i="33"/>
  <c r="M22" i="33" s="1"/>
  <c r="L21" i="33"/>
  <c r="K21" i="33"/>
  <c r="M21" i="33" s="1"/>
  <c r="L18" i="33"/>
  <c r="K18" i="33"/>
  <c r="M18" i="33" s="1"/>
  <c r="L17" i="33"/>
  <c r="K17" i="33"/>
  <c r="M17" i="33" s="1"/>
  <c r="H26" i="33"/>
  <c r="H21" i="32"/>
  <c r="J21" i="32" s="1"/>
  <c r="G26" i="32"/>
  <c r="H15" i="32"/>
  <c r="H16" i="32"/>
  <c r="J16" i="32" s="1"/>
  <c r="H19" i="32"/>
  <c r="J19" i="32" s="1"/>
  <c r="H17" i="32"/>
  <c r="J17" i="32" s="1"/>
  <c r="D26" i="32"/>
  <c r="H18" i="32"/>
  <c r="J18" i="32" s="1"/>
  <c r="H22" i="32"/>
  <c r="J22" i="32" s="1"/>
  <c r="B7" i="31"/>
  <c r="D15" i="31"/>
  <c r="D16" i="31"/>
  <c r="D19" i="31"/>
  <c r="D22" i="31"/>
  <c r="D21" i="31"/>
  <c r="D18" i="31"/>
  <c r="D17" i="31"/>
  <c r="K26" i="33" l="1"/>
  <c r="M26" i="33" s="1"/>
  <c r="M16" i="33"/>
  <c r="H26" i="32"/>
  <c r="K18" i="32"/>
  <c r="M18" i="32" s="1"/>
  <c r="L18" i="32"/>
  <c r="L17" i="32"/>
  <c r="K17" i="32"/>
  <c r="M17" i="32" s="1"/>
  <c r="L21" i="32"/>
  <c r="K21" i="32"/>
  <c r="M21" i="32" s="1"/>
  <c r="K22" i="32"/>
  <c r="M22" i="32" s="1"/>
  <c r="L22" i="32"/>
  <c r="J26" i="32"/>
  <c r="L26" i="32" s="1"/>
  <c r="L16" i="32"/>
  <c r="K16" i="32"/>
  <c r="L19" i="32"/>
  <c r="K19" i="32"/>
  <c r="M19" i="32" s="1"/>
  <c r="I26" i="31"/>
  <c r="F26" i="31"/>
  <c r="E26" i="31"/>
  <c r="C26" i="31"/>
  <c r="B26" i="31"/>
  <c r="G22" i="31"/>
  <c r="G21" i="31"/>
  <c r="K20" i="31"/>
  <c r="G20" i="31"/>
  <c r="G19" i="31"/>
  <c r="G18" i="31"/>
  <c r="G17" i="31"/>
  <c r="G16" i="31"/>
  <c r="G15" i="31"/>
  <c r="D26" i="31"/>
  <c r="B5" i="31"/>
  <c r="K26" i="32" l="1"/>
  <c r="M26" i="32" s="1"/>
  <c r="M16" i="32"/>
  <c r="H20" i="31"/>
  <c r="G26" i="31"/>
  <c r="H16" i="31"/>
  <c r="J16" i="31" s="1"/>
  <c r="H22" i="31"/>
  <c r="J22" i="31" s="1"/>
  <c r="H18" i="31"/>
  <c r="J18" i="31" s="1"/>
  <c r="H21" i="31"/>
  <c r="J21" i="31" s="1"/>
  <c r="H17" i="31"/>
  <c r="J17" i="31" s="1"/>
  <c r="H19" i="31"/>
  <c r="J19" i="31" s="1"/>
  <c r="H15" i="31"/>
  <c r="B5" i="30"/>
  <c r="B7" i="30"/>
  <c r="K22" i="31" l="1"/>
  <c r="M22" i="31" s="1"/>
  <c r="L22" i="31"/>
  <c r="L18" i="31"/>
  <c r="K18" i="31"/>
  <c r="M18" i="31" s="1"/>
  <c r="L16" i="31"/>
  <c r="J26" i="31"/>
  <c r="L26" i="31" s="1"/>
  <c r="K16" i="31"/>
  <c r="K19" i="31"/>
  <c r="M19" i="31" s="1"/>
  <c r="L19" i="31"/>
  <c r="L21" i="31"/>
  <c r="K21" i="31"/>
  <c r="M21" i="31" s="1"/>
  <c r="H26" i="31"/>
  <c r="L17" i="31"/>
  <c r="K17" i="31"/>
  <c r="M17" i="31" s="1"/>
  <c r="H21" i="30"/>
  <c r="H26" i="30"/>
  <c r="F26" i="30"/>
  <c r="D20" i="30"/>
  <c r="D15" i="30"/>
  <c r="D16" i="30"/>
  <c r="D19" i="30"/>
  <c r="D22" i="30"/>
  <c r="D21" i="30"/>
  <c r="D18" i="30"/>
  <c r="D17" i="30"/>
  <c r="I43" i="27"/>
  <c r="B35" i="27"/>
  <c r="I26" i="30"/>
  <c r="C26" i="30"/>
  <c r="B26" i="30"/>
  <c r="G22" i="30"/>
  <c r="G21" i="30"/>
  <c r="K20" i="30"/>
  <c r="G20" i="30"/>
  <c r="G19" i="30"/>
  <c r="G18" i="30"/>
  <c r="E26" i="30"/>
  <c r="G15" i="30"/>
  <c r="M16" i="31" l="1"/>
  <c r="K26" i="31"/>
  <c r="M26" i="31" s="1"/>
  <c r="H15" i="30"/>
  <c r="H20" i="30"/>
  <c r="H19" i="30"/>
  <c r="J19" i="30" s="1"/>
  <c r="H22" i="30"/>
  <c r="J22" i="30" s="1"/>
  <c r="H18" i="30"/>
  <c r="J18" i="30" s="1"/>
  <c r="G16" i="30"/>
  <c r="J21" i="30"/>
  <c r="D26" i="30"/>
  <c r="G17" i="30"/>
  <c r="B7" i="29"/>
  <c r="H22" i="29"/>
  <c r="H21" i="29"/>
  <c r="H20" i="29"/>
  <c r="H19" i="29"/>
  <c r="H18" i="29"/>
  <c r="H17" i="29"/>
  <c r="H16" i="29"/>
  <c r="H15" i="29"/>
  <c r="J21" i="29"/>
  <c r="G22" i="29"/>
  <c r="G21" i="29"/>
  <c r="G20" i="29"/>
  <c r="G19" i="29"/>
  <c r="G18" i="29"/>
  <c r="G17" i="29"/>
  <c r="G16" i="29"/>
  <c r="G15" i="29"/>
  <c r="E19" i="29"/>
  <c r="E22" i="29"/>
  <c r="E16" i="29"/>
  <c r="E21" i="29"/>
  <c r="E17" i="29"/>
  <c r="E18" i="29"/>
  <c r="F16" i="29"/>
  <c r="F22" i="29"/>
  <c r="F19" i="29"/>
  <c r="F21" i="29"/>
  <c r="F17" i="29"/>
  <c r="D20" i="29"/>
  <c r="D15" i="29"/>
  <c r="D16" i="29"/>
  <c r="D19" i="29"/>
  <c r="D22" i="29"/>
  <c r="D21" i="29"/>
  <c r="D18" i="29"/>
  <c r="D17" i="29"/>
  <c r="D26" i="29" s="1"/>
  <c r="C26" i="29"/>
  <c r="I26" i="29"/>
  <c r="F26" i="29"/>
  <c r="E26" i="29"/>
  <c r="B26" i="29"/>
  <c r="K20" i="29"/>
  <c r="B5" i="29"/>
  <c r="L22" i="30" l="1"/>
  <c r="K22" i="30"/>
  <c r="M22" i="30" s="1"/>
  <c r="K21" i="30"/>
  <c r="M21" i="30" s="1"/>
  <c r="L21" i="30"/>
  <c r="L19" i="30"/>
  <c r="K19" i="30"/>
  <c r="M19" i="30" s="1"/>
  <c r="L18" i="30"/>
  <c r="K18" i="30"/>
  <c r="M18" i="30" s="1"/>
  <c r="H16" i="30"/>
  <c r="H17" i="30"/>
  <c r="J17" i="30"/>
  <c r="G26" i="30"/>
  <c r="J17" i="29"/>
  <c r="K17" i="29" s="1"/>
  <c r="M17" i="29" s="1"/>
  <c r="G26" i="29"/>
  <c r="J19" i="29"/>
  <c r="L19" i="29" s="1"/>
  <c r="L21" i="29"/>
  <c r="K21" i="29"/>
  <c r="M21" i="29" s="1"/>
  <c r="J16" i="29"/>
  <c r="J18" i="29"/>
  <c r="J22" i="29"/>
  <c r="J16" i="28"/>
  <c r="J17" i="28"/>
  <c r="J18" i="28"/>
  <c r="J19" i="28"/>
  <c r="J20" i="28"/>
  <c r="J21" i="28"/>
  <c r="J22" i="28"/>
  <c r="J15" i="28"/>
  <c r="I22" i="28"/>
  <c r="I21" i="28"/>
  <c r="I19" i="28"/>
  <c r="I18" i="28"/>
  <c r="I17" i="28"/>
  <c r="I16" i="28"/>
  <c r="G16" i="28"/>
  <c r="G17" i="28"/>
  <c r="G18" i="28"/>
  <c r="G19" i="28"/>
  <c r="G20" i="28"/>
  <c r="G21" i="28"/>
  <c r="G22" i="28"/>
  <c r="G15" i="28"/>
  <c r="H26" i="28"/>
  <c r="E26" i="28"/>
  <c r="D26" i="28"/>
  <c r="C26" i="28"/>
  <c r="B26" i="28"/>
  <c r="F22" i="28"/>
  <c r="F21" i="28"/>
  <c r="F20" i="28"/>
  <c r="F19" i="28"/>
  <c r="F18" i="28"/>
  <c r="F17" i="28"/>
  <c r="F16" i="28"/>
  <c r="L15" i="28"/>
  <c r="F15" i="28"/>
  <c r="B5" i="28"/>
  <c r="L17" i="30" l="1"/>
  <c r="K17" i="30"/>
  <c r="M17" i="30" s="1"/>
  <c r="J16" i="30"/>
  <c r="L17" i="29"/>
  <c r="K19" i="29"/>
  <c r="M19" i="29" s="1"/>
  <c r="L22" i="29"/>
  <c r="K22" i="29"/>
  <c r="M22" i="29" s="1"/>
  <c r="K16" i="29"/>
  <c r="J26" i="29"/>
  <c r="L26" i="29" s="1"/>
  <c r="L16" i="29"/>
  <c r="H26" i="29"/>
  <c r="K18" i="29"/>
  <c r="M18" i="29" s="1"/>
  <c r="L18" i="29"/>
  <c r="F26" i="28"/>
  <c r="J26" i="30" l="1"/>
  <c r="L26" i="30" s="1"/>
  <c r="L16" i="30"/>
  <c r="K16" i="30"/>
  <c r="M16" i="29"/>
  <c r="K26" i="29"/>
  <c r="M26" i="29" s="1"/>
  <c r="G41" i="27"/>
  <c r="E52" i="27"/>
  <c r="F48" i="27"/>
  <c r="F47" i="27"/>
  <c r="F46" i="27"/>
  <c r="F45" i="27"/>
  <c r="F44" i="27"/>
  <c r="F43" i="27"/>
  <c r="F42" i="27"/>
  <c r="F41" i="27"/>
  <c r="H52" i="27"/>
  <c r="D52" i="27"/>
  <c r="C52" i="27"/>
  <c r="B52" i="27"/>
  <c r="G45" i="27" s="1"/>
  <c r="J46" i="27"/>
  <c r="L41" i="27"/>
  <c r="K41" i="27"/>
  <c r="J41" i="27"/>
  <c r="B31" i="27"/>
  <c r="M16" i="30" l="1"/>
  <c r="K26" i="30"/>
  <c r="M26" i="30" s="1"/>
  <c r="L17" i="28"/>
  <c r="K17" i="28"/>
  <c r="L22" i="28"/>
  <c r="K22" i="28"/>
  <c r="I26" i="28"/>
  <c r="K26" i="28" s="1"/>
  <c r="K16" i="28"/>
  <c r="K21" i="28"/>
  <c r="L21" i="28"/>
  <c r="L18" i="28"/>
  <c r="K18" i="28"/>
  <c r="L19" i="28"/>
  <c r="K19" i="28"/>
  <c r="G26" i="28"/>
  <c r="F52" i="27"/>
  <c r="G46" i="27"/>
  <c r="G43" i="27"/>
  <c r="G48" i="27"/>
  <c r="G47" i="27"/>
  <c r="G42" i="27"/>
  <c r="G44" i="27"/>
  <c r="L16" i="28" l="1"/>
  <c r="J26" i="28"/>
  <c r="L26" i="28" s="1"/>
  <c r="J43" i="27"/>
  <c r="L43" i="27" s="1"/>
  <c r="I50" i="27"/>
  <c r="J50" i="27" s="1"/>
  <c r="I48" i="27"/>
  <c r="K48" i="27" s="1"/>
  <c r="I42" i="27"/>
  <c r="J42" i="27" s="1"/>
  <c r="I45" i="27"/>
  <c r="K45" i="27" s="1"/>
  <c r="I47" i="27"/>
  <c r="K47" i="27" s="1"/>
  <c r="I51" i="27"/>
  <c r="J51" i="27" s="1"/>
  <c r="I44" i="27"/>
  <c r="J44" i="27" s="1"/>
  <c r="L44" i="27" s="1"/>
  <c r="I49" i="27"/>
  <c r="J49" i="27" s="1"/>
  <c r="G52" i="27"/>
  <c r="K43" i="27" l="1"/>
  <c r="J47" i="27"/>
  <c r="L47" i="27" s="1"/>
  <c r="J45" i="27"/>
  <c r="L45" i="27" s="1"/>
  <c r="K42" i="27"/>
  <c r="I52" i="27"/>
  <c r="K52" i="27" s="1"/>
  <c r="K44" i="27"/>
  <c r="J48" i="27"/>
  <c r="L48" i="27" s="1"/>
  <c r="L42" i="27"/>
  <c r="J52" i="27" l="1"/>
  <c r="L52" i="27" s="1"/>
</calcChain>
</file>

<file path=xl/sharedStrings.xml><?xml version="1.0" encoding="utf-8"?>
<sst xmlns="http://schemas.openxmlformats.org/spreadsheetml/2006/main" count="438" uniqueCount="50">
  <si>
    <t>Municipalidad</t>
  </si>
  <si>
    <t>Azul Networks</t>
  </si>
  <si>
    <t>Tecnovision</t>
  </si>
  <si>
    <t>Videotel</t>
  </si>
  <si>
    <t>Warinet</t>
  </si>
  <si>
    <t>Google</t>
  </si>
  <si>
    <t>Mb</t>
  </si>
  <si>
    <t>%</t>
  </si>
  <si>
    <t>Precio USD / Mb</t>
  </si>
  <si>
    <t>Capacidad disponible - Mb</t>
  </si>
  <si>
    <t>Reporte CABASE</t>
  </si>
  <si>
    <t>Contratación SYT</t>
  </si>
  <si>
    <t>Miembro</t>
  </si>
  <si>
    <t xml:space="preserve">Distribucion del transporte </t>
  </si>
  <si>
    <t>Tráfico tomado del IXP</t>
  </si>
  <si>
    <t>Capacidad a facturar</t>
  </si>
  <si>
    <t>Abono a facturar</t>
  </si>
  <si>
    <t>Precio equivalente</t>
  </si>
  <si>
    <t>USD</t>
  </si>
  <si>
    <t>USD / Mb</t>
  </si>
  <si>
    <t>TOTAL</t>
  </si>
  <si>
    <t>UNJU</t>
  </si>
  <si>
    <t>Capacidad contratada - Mb</t>
  </si>
  <si>
    <t>Capacidad Utilizada - Observium</t>
  </si>
  <si>
    <t>Abono contratado (USD)</t>
  </si>
  <si>
    <t>Observium</t>
  </si>
  <si>
    <t>Transporte Google</t>
  </si>
  <si>
    <t>95% Mb</t>
  </si>
  <si>
    <t>Transporte</t>
  </si>
  <si>
    <t>Transporte  total</t>
  </si>
  <si>
    <t>Mb pico</t>
  </si>
  <si>
    <t>Azul</t>
  </si>
  <si>
    <t>Transporte BUE JUJ</t>
  </si>
  <si>
    <t>Rendimiento IXP</t>
  </si>
  <si>
    <t>Cable Audio Vision</t>
  </si>
  <si>
    <t>CAV</t>
  </si>
  <si>
    <t>Transporte OCA</t>
  </si>
  <si>
    <t>OCA Netflix</t>
  </si>
  <si>
    <t>Capacidad a distribuir</t>
  </si>
  <si>
    <t>SYT</t>
  </si>
  <si>
    <t>FNA</t>
  </si>
  <si>
    <t>Transporte FNA</t>
  </si>
  <si>
    <t>Abono Febrero - Consumos Enero 2022 - Medición 23-12-2021 al 22-01-2022</t>
  </si>
  <si>
    <t>Abono Marzo - Consumos Febrero 2022 - Medición 23-01-2022 al 22-02-2022</t>
  </si>
  <si>
    <t>Abono Abril - Consumos Marzo 2022 - Medición 23-02-2022 al 22-03-2022</t>
  </si>
  <si>
    <t>Abono Mayo - Consumos Abril 2022 - Medición 23-03-2022 al 22-04-2022</t>
  </si>
  <si>
    <t>Abono Junio - Consumos Mayo 2022 - Medición 23-04-2022 al 22-05-2022</t>
  </si>
  <si>
    <t>Facturacion Original</t>
  </si>
  <si>
    <t>Ajuste</t>
  </si>
  <si>
    <t>Abono Agosto - Consumos Julio 2022 - Medición 23-06-2022 al 22-07-2022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</si>
</sst>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2">
    <xf numFmtId="0" fontId="0" fillId="0" borderId="0" xfId="0"/>
    <xf numFmtId="0" fontId="0" fillId="0" borderId="1" xfId="0" applyBorder="1"/>
    <xf numFmtId="0" fontId="0" fillId="0" borderId="0" xfId="0" applyBorder="1"/>
    <xf numFmtId="0" fontId="4" fillId="0" borderId="0" xfId="0" applyFont="1" applyBorder="1"/>
    <xf numFmtId="0" fontId="4" fillId="0" borderId="0" xfId="0" applyFont="1"/>
    <xf numFmtId="0" fontId="4" fillId="0" borderId="0" xfId="0" applyFont="1" applyBorder="1" applyAlignment="1">
      <alignment horizontal="right" wrapText="1"/>
    </xf>
    <xf numFmtId="0" fontId="4" fillId="0" borderId="0" xfId="0" applyFont="1" applyBorder="1" applyAlignment="1"/>
    <xf numFmtId="0" fontId="0" fillId="0" borderId="0" xfId="0" applyFont="1" applyBorder="1" applyAlignment="1">
      <alignment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164" fontId="0" fillId="0" borderId="13" xfId="1" applyNumberFormat="1" applyFont="1" applyBorder="1" applyAlignment="1">
      <alignment horizontal="right" wrapText="1"/>
    </xf>
    <xf numFmtId="164" fontId="0" fillId="0" borderId="14" xfId="1" applyNumberFormat="1" applyFont="1" applyBorder="1" applyAlignment="1">
      <alignment horizontal="right" wrapText="1"/>
    </xf>
    <xf numFmtId="43" fontId="4" fillId="0" borderId="15" xfId="0" applyNumberFormat="1" applyFont="1" applyBorder="1"/>
    <xf numFmtId="164" fontId="0" fillId="0" borderId="1" xfId="1" applyNumberFormat="1" applyFont="1" applyBorder="1" applyAlignment="1">
      <alignment horizontal="right" wrapText="1"/>
    </xf>
    <xf numFmtId="0" fontId="0" fillId="0" borderId="16" xfId="0" applyBorder="1"/>
    <xf numFmtId="0" fontId="4" fillId="0" borderId="1" xfId="0" applyFont="1" applyBorder="1" applyAlignment="1">
      <alignment horizontal="left"/>
    </xf>
    <xf numFmtId="43" fontId="4" fillId="2" borderId="1" xfId="1" applyNumberFormat="1" applyFont="1" applyFill="1" applyBorder="1"/>
    <xf numFmtId="164" fontId="4" fillId="2" borderId="1" xfId="1" applyNumberFormat="1" applyFont="1" applyFill="1" applyBorder="1" applyAlignment="1"/>
    <xf numFmtId="0" fontId="5" fillId="0" borderId="17" xfId="0" applyFont="1" applyBorder="1" applyAlignment="1"/>
    <xf numFmtId="0" fontId="5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wrapText="1"/>
    </xf>
    <xf numFmtId="164" fontId="0" fillId="2" borderId="13" xfId="1" applyNumberFormat="1" applyFont="1" applyFill="1" applyBorder="1" applyAlignment="1">
      <alignment horizontal="right" wrapText="1"/>
    </xf>
    <xf numFmtId="164" fontId="0" fillId="2" borderId="14" xfId="1" applyNumberFormat="1" applyFont="1" applyFill="1" applyBorder="1" applyAlignment="1">
      <alignment horizontal="right" wrapText="1"/>
    </xf>
    <xf numFmtId="10" fontId="0" fillId="0" borderId="15" xfId="2" applyNumberFormat="1" applyFont="1" applyBorder="1" applyAlignment="1">
      <alignment horizontal="right" wrapText="1"/>
    </xf>
    <xf numFmtId="164" fontId="0" fillId="2" borderId="25" xfId="1" applyNumberFormat="1" applyFont="1" applyFill="1" applyBorder="1" applyAlignment="1">
      <alignment horizontal="right" wrapText="1"/>
    </xf>
    <xf numFmtId="9" fontId="4" fillId="0" borderId="14" xfId="2" applyFont="1" applyBorder="1" applyAlignment="1">
      <alignment horizontal="right" wrapText="1"/>
    </xf>
    <xf numFmtId="0" fontId="0" fillId="0" borderId="26" xfId="0" applyFont="1" applyBorder="1" applyAlignment="1">
      <alignment wrapText="1"/>
    </xf>
    <xf numFmtId="164" fontId="0" fillId="2" borderId="8" xfId="1" applyNumberFormat="1" applyFont="1" applyFill="1" applyBorder="1" applyAlignment="1">
      <alignment horizontal="right" wrapText="1"/>
    </xf>
    <xf numFmtId="164" fontId="0" fillId="2" borderId="1" xfId="1" applyNumberFormat="1" applyFont="1" applyFill="1" applyBorder="1" applyAlignment="1">
      <alignment horizontal="right" wrapText="1"/>
    </xf>
    <xf numFmtId="164" fontId="0" fillId="2" borderId="18" xfId="1" applyNumberFormat="1" applyFont="1" applyFill="1" applyBorder="1" applyAlignment="1">
      <alignment horizontal="right" wrapText="1"/>
    </xf>
    <xf numFmtId="0" fontId="5" fillId="0" borderId="27" xfId="0" applyFont="1" applyBorder="1" applyAlignment="1">
      <alignment horizontal="right" wrapText="1"/>
    </xf>
    <xf numFmtId="164" fontId="5" fillId="0" borderId="27" xfId="1" applyNumberFormat="1" applyFont="1" applyBorder="1" applyAlignment="1">
      <alignment horizontal="right" wrapText="1"/>
    </xf>
    <xf numFmtId="0" fontId="2" fillId="0" borderId="0" xfId="0" applyFont="1" applyAlignment="1">
      <alignment horizontal="right"/>
    </xf>
    <xf numFmtId="0" fontId="4" fillId="0" borderId="0" xfId="0" applyFont="1" applyBorder="1" applyAlignment="1">
      <alignment horizontal="left"/>
    </xf>
    <xf numFmtId="0" fontId="0" fillId="0" borderId="0" xfId="0" applyAlignment="1">
      <alignment vertical="center"/>
    </xf>
    <xf numFmtId="164" fontId="0" fillId="0" borderId="0" xfId="0" applyNumberFormat="1"/>
    <xf numFmtId="164" fontId="0" fillId="2" borderId="28" xfId="1" applyNumberFormat="1" applyFont="1" applyFill="1" applyBorder="1" applyAlignment="1">
      <alignment horizontal="right" wrapText="1"/>
    </xf>
    <xf numFmtId="10" fontId="0" fillId="0" borderId="29" xfId="2" applyNumberFormat="1" applyFont="1" applyBorder="1" applyAlignment="1">
      <alignment horizontal="right" wrapText="1"/>
    </xf>
    <xf numFmtId="164" fontId="0" fillId="0" borderId="30" xfId="1" applyNumberFormat="1" applyFont="1" applyBorder="1" applyAlignment="1">
      <alignment horizontal="right" wrapText="1"/>
    </xf>
    <xf numFmtId="164" fontId="0" fillId="0" borderId="31" xfId="1" applyNumberFormat="1" applyFont="1" applyBorder="1" applyAlignment="1">
      <alignment horizontal="right" wrapText="1"/>
    </xf>
    <xf numFmtId="164" fontId="5" fillId="0" borderId="32" xfId="1" applyNumberFormat="1" applyFont="1" applyBorder="1" applyAlignment="1">
      <alignment horizontal="right" wrapText="1"/>
    </xf>
    <xf numFmtId="164" fontId="5" fillId="0" borderId="33" xfId="1" applyNumberFormat="1" applyFont="1" applyBorder="1" applyAlignment="1">
      <alignment horizontal="right" wrapText="1"/>
    </xf>
    <xf numFmtId="9" fontId="5" fillId="0" borderId="34" xfId="2" applyFont="1" applyBorder="1" applyAlignment="1">
      <alignment horizontal="right" wrapText="1"/>
    </xf>
    <xf numFmtId="9" fontId="5" fillId="0" borderId="33" xfId="2" applyFont="1" applyBorder="1" applyAlignment="1">
      <alignment horizontal="right" wrapText="1"/>
    </xf>
    <xf numFmtId="43" fontId="5" fillId="0" borderId="34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43" fontId="0" fillId="0" borderId="0" xfId="0" applyNumberFormat="1"/>
    <xf numFmtId="164" fontId="0" fillId="0" borderId="0" xfId="0" applyNumberFormat="1" applyAlignment="1">
      <alignment vertical="center"/>
    </xf>
    <xf numFmtId="43" fontId="0" fillId="0" borderId="0" xfId="0" applyNumberFormat="1" applyAlignment="1">
      <alignment vertical="center"/>
    </xf>
    <xf numFmtId="43" fontId="0" fillId="0" borderId="0" xfId="1" applyFont="1"/>
    <xf numFmtId="0" fontId="5" fillId="0" borderId="1" xfId="0" applyFont="1" applyFill="1" applyBorder="1" applyAlignment="1">
      <alignment horizontal="center" vertical="center" wrapText="1"/>
    </xf>
    <xf numFmtId="164" fontId="4" fillId="0" borderId="1" xfId="1" applyNumberFormat="1" applyFont="1" applyFill="1" applyBorder="1" applyAlignment="1"/>
    <xf numFmtId="9" fontId="4" fillId="0" borderId="1" xfId="2" applyFont="1" applyBorder="1" applyAlignment="1">
      <alignment horizontal="right" wrapText="1"/>
    </xf>
    <xf numFmtId="43" fontId="4" fillId="0" borderId="9" xfId="0" applyNumberFormat="1" applyFont="1" applyBorder="1"/>
    <xf numFmtId="9" fontId="5" fillId="0" borderId="35" xfId="2" applyFont="1" applyBorder="1" applyAlignment="1">
      <alignment horizontal="right" wrapText="1"/>
    </xf>
    <xf numFmtId="43" fontId="5" fillId="0" borderId="36" xfId="0" applyNumberFormat="1" applyFont="1" applyBorder="1" applyAlignment="1">
      <alignment horizontal="right"/>
    </xf>
    <xf numFmtId="9" fontId="5" fillId="0" borderId="1" xfId="2" applyFont="1" applyBorder="1" applyAlignment="1">
      <alignment horizontal="right" wrapText="1"/>
    </xf>
    <xf numFmtId="43" fontId="5" fillId="0" borderId="9" xfId="0" applyNumberFormat="1" applyFont="1" applyBorder="1" applyAlignment="1">
      <alignment horizontal="right"/>
    </xf>
    <xf numFmtId="164" fontId="0" fillId="2" borderId="31" xfId="1" applyNumberFormat="1" applyFont="1" applyFill="1" applyBorder="1" applyAlignment="1">
      <alignment horizontal="right" wrapText="1"/>
    </xf>
    <xf numFmtId="164" fontId="0" fillId="2" borderId="37" xfId="1" applyNumberFormat="1" applyFont="1" applyFill="1" applyBorder="1" applyAlignment="1">
      <alignment horizontal="right" wrapText="1"/>
    </xf>
    <xf numFmtId="10" fontId="0" fillId="0" borderId="9" xfId="2" applyNumberFormat="1" applyFont="1" applyBorder="1" applyAlignment="1">
      <alignment horizontal="right" wrapText="1"/>
    </xf>
    <xf numFmtId="164" fontId="0" fillId="0" borderId="8" xfId="1" applyNumberFormat="1" applyFont="1" applyBorder="1" applyAlignment="1">
      <alignment horizontal="right" wrapText="1"/>
    </xf>
    <xf numFmtId="165" fontId="0" fillId="0" borderId="15" xfId="2" applyNumberFormat="1" applyFont="1" applyBorder="1" applyAlignment="1">
      <alignment horizontal="right" wrapText="1"/>
    </xf>
    <xf numFmtId="164" fontId="4" fillId="0" borderId="0" xfId="1" applyNumberFormat="1" applyFont="1" applyFill="1" applyBorder="1" applyAlignment="1"/>
    <xf numFmtId="0" fontId="5" fillId="0" borderId="39" xfId="0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wrapText="1"/>
    </xf>
    <xf numFmtId="164" fontId="0" fillId="2" borderId="41" xfId="1" applyNumberFormat="1" applyFont="1" applyFill="1" applyBorder="1" applyAlignment="1">
      <alignment horizontal="right" wrapText="1"/>
    </xf>
    <xf numFmtId="164" fontId="0" fillId="2" borderId="39" xfId="1" applyNumberFormat="1" applyFont="1" applyFill="1" applyBorder="1" applyAlignment="1">
      <alignment horizontal="right" wrapText="1"/>
    </xf>
    <xf numFmtId="164" fontId="0" fillId="2" borderId="42" xfId="1" applyNumberFormat="1" applyFont="1" applyFill="1" applyBorder="1" applyAlignment="1">
      <alignment horizontal="right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vertical="center"/>
    </xf>
    <xf numFmtId="43" fontId="0" fillId="0" borderId="1" xfId="1" applyFont="1" applyBorder="1"/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9" fontId="5" fillId="0" borderId="5" xfId="2" applyFont="1" applyBorder="1" applyAlignment="1">
      <alignment horizontal="center"/>
    </xf>
    <xf numFmtId="9" fontId="5" fillId="0" borderId="6" xfId="2" applyFont="1" applyBorder="1" applyAlignment="1">
      <alignment horizontal="center"/>
    </xf>
    <xf numFmtId="9" fontId="5" fillId="0" borderId="7" xfId="2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9" fontId="5" fillId="0" borderId="38" xfId="2" applyFont="1" applyBorder="1" applyAlignment="1">
      <alignment horizontal="center"/>
    </xf>
    <xf numFmtId="164" fontId="4" fillId="0" borderId="0" xfId="0" applyNumberFormat="1" applyFont="1" applyBorder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10" Type="http://schemas.openxmlformats.org/officeDocument/2006/relationships/image" Target="../media/image39.png"/><Relationship Id="rId4" Type="http://schemas.openxmlformats.org/officeDocument/2006/relationships/image" Target="../media/image33.png"/><Relationship Id="rId9" Type="http://schemas.openxmlformats.org/officeDocument/2006/relationships/image" Target="../media/image3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image" Target="../media/image4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image" Target="../media/image4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6" Type="http://schemas.openxmlformats.org/officeDocument/2006/relationships/image" Target="../media/image52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0</xdr:rowOff>
    </xdr:from>
    <xdr:to>
      <xdr:col>14</xdr:col>
      <xdr:colOff>287359</xdr:colOff>
      <xdr:row>75</xdr:row>
      <xdr:rowOff>105295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163300"/>
          <a:ext cx="11526859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14</xdr:col>
      <xdr:colOff>287359</xdr:colOff>
      <xdr:row>170</xdr:row>
      <xdr:rowOff>105295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9260800"/>
          <a:ext cx="11526859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14</xdr:col>
      <xdr:colOff>277832</xdr:colOff>
      <xdr:row>194</xdr:row>
      <xdr:rowOff>124347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832800"/>
          <a:ext cx="11517332" cy="3743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14</xdr:col>
      <xdr:colOff>287359</xdr:colOff>
      <xdr:row>217</xdr:row>
      <xdr:rowOff>76716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8214300"/>
          <a:ext cx="11526859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14</xdr:col>
      <xdr:colOff>392148</xdr:colOff>
      <xdr:row>146</xdr:row>
      <xdr:rowOff>86242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4688800"/>
          <a:ext cx="11631648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14</xdr:col>
      <xdr:colOff>334990</xdr:colOff>
      <xdr:row>240</xdr:row>
      <xdr:rowOff>105295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2595800"/>
          <a:ext cx="11574490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14</xdr:col>
      <xdr:colOff>268306</xdr:colOff>
      <xdr:row>122</xdr:row>
      <xdr:rowOff>86242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0116800"/>
          <a:ext cx="11507806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14</xdr:col>
      <xdr:colOff>315938</xdr:colOff>
      <xdr:row>99</xdr:row>
      <xdr:rowOff>86242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5735300"/>
          <a:ext cx="11555438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14</xdr:col>
      <xdr:colOff>325464</xdr:colOff>
      <xdr:row>22</xdr:row>
      <xdr:rowOff>105295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71500"/>
          <a:ext cx="11564964" cy="37247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75</xdr:row>
      <xdr:rowOff>0</xdr:rowOff>
    </xdr:from>
    <xdr:to>
      <xdr:col>14</xdr:col>
      <xdr:colOff>334990</xdr:colOff>
      <xdr:row>94</xdr:row>
      <xdr:rowOff>105295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163300"/>
          <a:ext cx="11574490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14</xdr:col>
      <xdr:colOff>306411</xdr:colOff>
      <xdr:row>189</xdr:row>
      <xdr:rowOff>95768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9260800"/>
          <a:ext cx="11545911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315938</xdr:colOff>
      <xdr:row>213</xdr:row>
      <xdr:rowOff>95768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832800"/>
          <a:ext cx="11555438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14</xdr:col>
      <xdr:colOff>315938</xdr:colOff>
      <xdr:row>236</xdr:row>
      <xdr:rowOff>76716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8214300"/>
          <a:ext cx="11555438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14</xdr:col>
      <xdr:colOff>354043</xdr:colOff>
      <xdr:row>165</xdr:row>
      <xdr:rowOff>143400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4688800"/>
          <a:ext cx="11593543" cy="3762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14</xdr:col>
      <xdr:colOff>325464</xdr:colOff>
      <xdr:row>259</xdr:row>
      <xdr:rowOff>143400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2595800"/>
          <a:ext cx="11564964" cy="3762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14</xdr:col>
      <xdr:colOff>315938</xdr:colOff>
      <xdr:row>118</xdr:row>
      <xdr:rowOff>133874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5735300"/>
          <a:ext cx="11555438" cy="375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14</xdr:col>
      <xdr:colOff>277832</xdr:colOff>
      <xdr:row>141</xdr:row>
      <xdr:rowOff>124347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0116800"/>
          <a:ext cx="11517332" cy="3743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14</xdr:col>
      <xdr:colOff>258780</xdr:colOff>
      <xdr:row>49</xdr:row>
      <xdr:rowOff>67189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71500"/>
          <a:ext cx="11498280" cy="3686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14</xdr:col>
      <xdr:colOff>315938</xdr:colOff>
      <xdr:row>70</xdr:row>
      <xdr:rowOff>105295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0210800"/>
          <a:ext cx="11555438" cy="37247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75</xdr:row>
      <xdr:rowOff>0</xdr:rowOff>
    </xdr:from>
    <xdr:to>
      <xdr:col>14</xdr:col>
      <xdr:colOff>446214</xdr:colOff>
      <xdr:row>94</xdr:row>
      <xdr:rowOff>113833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784917"/>
          <a:ext cx="11685714" cy="3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14</xdr:col>
      <xdr:colOff>389071</xdr:colOff>
      <xdr:row>189</xdr:row>
      <xdr:rowOff>123357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2882417"/>
          <a:ext cx="11628571" cy="37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360500</xdr:colOff>
      <xdr:row>213</xdr:row>
      <xdr:rowOff>142405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7454417"/>
          <a:ext cx="11600000" cy="37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14</xdr:col>
      <xdr:colOff>312881</xdr:colOff>
      <xdr:row>236</xdr:row>
      <xdr:rowOff>132881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1835917"/>
          <a:ext cx="11552381" cy="3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14</xdr:col>
      <xdr:colOff>360500</xdr:colOff>
      <xdr:row>165</xdr:row>
      <xdr:rowOff>104309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310417"/>
          <a:ext cx="11600000" cy="37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14</xdr:col>
      <xdr:colOff>341452</xdr:colOff>
      <xdr:row>259</xdr:row>
      <xdr:rowOff>85262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6217417"/>
          <a:ext cx="11580952" cy="37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14</xdr:col>
      <xdr:colOff>398595</xdr:colOff>
      <xdr:row>118</xdr:row>
      <xdr:rowOff>151929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9356917"/>
          <a:ext cx="11638095" cy="37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14</xdr:col>
      <xdr:colOff>408119</xdr:colOff>
      <xdr:row>141</xdr:row>
      <xdr:rowOff>142405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3738417"/>
          <a:ext cx="11647619" cy="37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14</xdr:col>
      <xdr:colOff>331928</xdr:colOff>
      <xdr:row>49</xdr:row>
      <xdr:rowOff>132881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212417"/>
          <a:ext cx="11571428" cy="3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14</xdr:col>
      <xdr:colOff>341452</xdr:colOff>
      <xdr:row>71</xdr:row>
      <xdr:rowOff>113833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0403417"/>
          <a:ext cx="11580952" cy="37333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75</xdr:row>
      <xdr:rowOff>0</xdr:rowOff>
    </xdr:from>
    <xdr:to>
      <xdr:col>14</xdr:col>
      <xdr:colOff>392143</xdr:colOff>
      <xdr:row>94</xdr:row>
      <xdr:rowOff>67189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782800"/>
          <a:ext cx="11593543" cy="3686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14</xdr:col>
      <xdr:colOff>344511</xdr:colOff>
      <xdr:row>189</xdr:row>
      <xdr:rowOff>76716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2880300"/>
          <a:ext cx="11545911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392143</xdr:colOff>
      <xdr:row>213</xdr:row>
      <xdr:rowOff>114821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7452300"/>
          <a:ext cx="11593543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14</xdr:col>
      <xdr:colOff>315932</xdr:colOff>
      <xdr:row>236</xdr:row>
      <xdr:rowOff>57663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1833800"/>
          <a:ext cx="11517332" cy="3677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14</xdr:col>
      <xdr:colOff>354038</xdr:colOff>
      <xdr:row>165</xdr:row>
      <xdr:rowOff>105295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308300"/>
          <a:ext cx="11555438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14</xdr:col>
      <xdr:colOff>325459</xdr:colOff>
      <xdr:row>259</xdr:row>
      <xdr:rowOff>67189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6215300"/>
          <a:ext cx="11526859" cy="3686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14</xdr:col>
      <xdr:colOff>373090</xdr:colOff>
      <xdr:row>118</xdr:row>
      <xdr:rowOff>114821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9354800"/>
          <a:ext cx="11574490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14</xdr:col>
      <xdr:colOff>325459</xdr:colOff>
      <xdr:row>141</xdr:row>
      <xdr:rowOff>86242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3736300"/>
          <a:ext cx="11526859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14</xdr:col>
      <xdr:colOff>315932</xdr:colOff>
      <xdr:row>49</xdr:row>
      <xdr:rowOff>105295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210300"/>
          <a:ext cx="11517332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14</xdr:col>
      <xdr:colOff>382617</xdr:colOff>
      <xdr:row>70</xdr:row>
      <xdr:rowOff>114821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0210800"/>
          <a:ext cx="11584017" cy="37343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0</xdr:rowOff>
    </xdr:from>
    <xdr:to>
      <xdr:col>14</xdr:col>
      <xdr:colOff>354038</xdr:colOff>
      <xdr:row>49</xdr:row>
      <xdr:rowOff>105295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210300"/>
          <a:ext cx="11555438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14</xdr:col>
      <xdr:colOff>325459</xdr:colOff>
      <xdr:row>70</xdr:row>
      <xdr:rowOff>95768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210800"/>
          <a:ext cx="11526859" cy="37152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0</xdr:rowOff>
    </xdr:from>
    <xdr:to>
      <xdr:col>15</xdr:col>
      <xdr:colOff>49238</xdr:colOff>
      <xdr:row>49</xdr:row>
      <xdr:rowOff>105295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210300"/>
          <a:ext cx="11555438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15</xdr:col>
      <xdr:colOff>20659</xdr:colOff>
      <xdr:row>70</xdr:row>
      <xdr:rowOff>95768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210800"/>
          <a:ext cx="11526859" cy="37152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170</xdr:row>
      <xdr:rowOff>0</xdr:rowOff>
    </xdr:from>
    <xdr:to>
      <xdr:col>14</xdr:col>
      <xdr:colOff>354043</xdr:colOff>
      <xdr:row>189</xdr:row>
      <xdr:rowOff>105295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882417"/>
          <a:ext cx="11593543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334985</xdr:colOff>
      <xdr:row>213</xdr:row>
      <xdr:rowOff>76716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7452300"/>
          <a:ext cx="11536385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14</xdr:col>
      <xdr:colOff>363564</xdr:colOff>
      <xdr:row>236</xdr:row>
      <xdr:rowOff>114821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1833800"/>
          <a:ext cx="11564964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14</xdr:col>
      <xdr:colOff>354038</xdr:colOff>
      <xdr:row>49</xdr:row>
      <xdr:rowOff>67189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210300"/>
          <a:ext cx="11555438" cy="3686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14</xdr:col>
      <xdr:colOff>325459</xdr:colOff>
      <xdr:row>70</xdr:row>
      <xdr:rowOff>67189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0210800"/>
          <a:ext cx="11526859" cy="36866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75</xdr:row>
      <xdr:rowOff>0</xdr:rowOff>
    </xdr:from>
    <xdr:to>
      <xdr:col>14</xdr:col>
      <xdr:colOff>315938</xdr:colOff>
      <xdr:row>94</xdr:row>
      <xdr:rowOff>124347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784917"/>
          <a:ext cx="11555438" cy="3743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14</xdr:col>
      <xdr:colOff>334990</xdr:colOff>
      <xdr:row>189</xdr:row>
      <xdr:rowOff>57663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2882417"/>
          <a:ext cx="11574490" cy="3677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325464</xdr:colOff>
      <xdr:row>213</xdr:row>
      <xdr:rowOff>105295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7454417"/>
          <a:ext cx="11564964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14</xdr:col>
      <xdr:colOff>306411</xdr:colOff>
      <xdr:row>236</xdr:row>
      <xdr:rowOff>86242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1835917"/>
          <a:ext cx="11545911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14</xdr:col>
      <xdr:colOff>296885</xdr:colOff>
      <xdr:row>165</xdr:row>
      <xdr:rowOff>95768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310417"/>
          <a:ext cx="11536385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14</xdr:col>
      <xdr:colOff>306411</xdr:colOff>
      <xdr:row>259</xdr:row>
      <xdr:rowOff>143400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6217417"/>
          <a:ext cx="11545911" cy="3762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14</xdr:col>
      <xdr:colOff>296885</xdr:colOff>
      <xdr:row>118</xdr:row>
      <xdr:rowOff>114821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9356917"/>
          <a:ext cx="11536385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14</xdr:col>
      <xdr:colOff>334990</xdr:colOff>
      <xdr:row>141</xdr:row>
      <xdr:rowOff>114821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3738417"/>
          <a:ext cx="11574490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14</xdr:col>
      <xdr:colOff>344511</xdr:colOff>
      <xdr:row>49</xdr:row>
      <xdr:rowOff>95768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210300"/>
          <a:ext cx="11545911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14</xdr:col>
      <xdr:colOff>334985</xdr:colOff>
      <xdr:row>71</xdr:row>
      <xdr:rowOff>86242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0401300"/>
          <a:ext cx="11536385" cy="37057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0"/>
  <sheetViews>
    <sheetView topLeftCell="A34" zoomScaleNormal="100" workbookViewId="0">
      <selection activeCell="B34" sqref="B34"/>
    </sheetView>
  </sheetViews>
  <sheetFormatPr defaultRowHeight="15" x14ac:dyDescent="0.25"/>
  <cols>
    <col min="1" max="1" width="30.140625" bestFit="1" customWidth="1"/>
    <col min="2" max="3" width="10.5703125" bestFit="1" customWidth="1"/>
    <col min="4" max="5" width="10.5703125" customWidth="1"/>
    <col min="6" max="6" width="10.5703125" bestFit="1" customWidth="1"/>
    <col min="7" max="7" width="11.7109375" bestFit="1" customWidth="1"/>
    <col min="8" max="8" width="10.7109375" bestFit="1" customWidth="1"/>
    <col min="9" max="9" width="10.5703125" bestFit="1" customWidth="1"/>
    <col min="10" max="10" width="8.28515625" bestFit="1" customWidth="1"/>
    <col min="11" max="11" width="12.5703125" bestFit="1" customWidth="1"/>
    <col min="12" max="12" width="11.42578125" customWidth="1"/>
    <col min="13" max="13" width="9.140625" customWidth="1"/>
    <col min="14" max="14" width="11.140625" bestFit="1" customWidth="1"/>
    <col min="15" max="15" width="10.5703125" bestFit="1" customWidth="1"/>
  </cols>
  <sheetData>
    <row r="2" spans="1:1" x14ac:dyDescent="0.25">
      <c r="A2" t="s">
        <v>28</v>
      </c>
    </row>
    <row r="27" spans="1:17" ht="15.75" thickBot="1" x14ac:dyDescent="0.3"/>
    <row r="28" spans="1:17" ht="19.5" thickBot="1" x14ac:dyDescent="0.35">
      <c r="A28" s="79" t="s">
        <v>42</v>
      </c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1"/>
    </row>
    <row r="29" spans="1:17" x14ac:dyDescent="0.25">
      <c r="M29" s="39"/>
      <c r="N29" s="39"/>
    </row>
    <row r="30" spans="1:17" x14ac:dyDescent="0.25">
      <c r="A30" s="20" t="s">
        <v>8</v>
      </c>
      <c r="B30" s="21">
        <v>2.8</v>
      </c>
      <c r="C30" s="3"/>
      <c r="D30" s="3"/>
      <c r="E30" s="3"/>
      <c r="G30" s="2"/>
      <c r="H30" s="39"/>
      <c r="I30" s="39"/>
      <c r="J30" s="3"/>
      <c r="K30" s="3"/>
      <c r="L30" s="3"/>
      <c r="M30" s="39"/>
      <c r="N30" s="39"/>
    </row>
    <row r="31" spans="1:17" x14ac:dyDescent="0.25">
      <c r="A31" s="20" t="s">
        <v>22</v>
      </c>
      <c r="B31" s="22">
        <f>9*1024</f>
        <v>9216</v>
      </c>
      <c r="C31" s="3"/>
      <c r="D31" s="3"/>
      <c r="E31" s="3"/>
      <c r="G31" s="2"/>
      <c r="H31" s="39"/>
      <c r="I31" s="39"/>
      <c r="J31" s="6"/>
      <c r="K31" s="6"/>
      <c r="L31" s="6"/>
      <c r="M31" s="39"/>
      <c r="N31" s="39"/>
    </row>
    <row r="32" spans="1:17" x14ac:dyDescent="0.25">
      <c r="A32" s="20"/>
      <c r="B32" s="22"/>
      <c r="C32" s="3"/>
      <c r="D32" s="3"/>
      <c r="E32" s="3"/>
      <c r="H32" s="39"/>
      <c r="I32" s="39"/>
      <c r="J32" s="6"/>
      <c r="K32" s="6"/>
      <c r="L32" s="6"/>
      <c r="M32" s="39"/>
      <c r="N32" s="39"/>
      <c r="O32" s="2"/>
      <c r="P32" s="4"/>
      <c r="Q32" s="4"/>
    </row>
    <row r="33" spans="1:17" x14ac:dyDescent="0.25">
      <c r="A33" s="20" t="s">
        <v>23</v>
      </c>
      <c r="B33" s="22">
        <v>11440</v>
      </c>
      <c r="C33" s="3"/>
      <c r="D33" s="3"/>
      <c r="E33" s="3"/>
      <c r="F33" s="40"/>
      <c r="G33" s="2"/>
      <c r="H33" s="39"/>
      <c r="I33" s="39"/>
      <c r="J33" s="6"/>
      <c r="K33" s="6"/>
      <c r="L33" s="6"/>
      <c r="M33" s="39"/>
      <c r="N33" s="39"/>
      <c r="O33" s="5"/>
      <c r="P33" s="4"/>
      <c r="Q33" s="4"/>
    </row>
    <row r="34" spans="1:17" x14ac:dyDescent="0.25">
      <c r="A34" s="20" t="s">
        <v>24</v>
      </c>
      <c r="B34" s="22">
        <v>25200</v>
      </c>
      <c r="C34" s="3"/>
      <c r="D34" s="3"/>
      <c r="E34" s="3"/>
      <c r="G34" s="2"/>
      <c r="H34" s="39"/>
      <c r="I34" s="39"/>
      <c r="J34" s="6"/>
      <c r="K34" s="6"/>
      <c r="L34" s="6"/>
      <c r="N34" s="39"/>
    </row>
    <row r="35" spans="1:17" x14ac:dyDescent="0.25">
      <c r="A35" s="20" t="s">
        <v>38</v>
      </c>
      <c r="B35" s="56">
        <f>+B31-B52</f>
        <v>11.200000000000728</v>
      </c>
      <c r="C35" s="3"/>
      <c r="D35" s="3"/>
      <c r="E35" s="3"/>
      <c r="G35" s="2"/>
      <c r="H35" s="39"/>
      <c r="I35" s="39"/>
      <c r="J35" s="6"/>
      <c r="K35" s="6"/>
      <c r="L35" s="6"/>
      <c r="N35" s="39"/>
    </row>
    <row r="36" spans="1:17" x14ac:dyDescent="0.25">
      <c r="A36" s="20"/>
      <c r="B36" s="56"/>
      <c r="C36" s="4"/>
      <c r="D36" s="4"/>
      <c r="E36" s="4"/>
      <c r="F36" s="4"/>
      <c r="G36" s="4"/>
      <c r="H36" s="4"/>
      <c r="I36" s="39"/>
      <c r="J36" s="4"/>
      <c r="K36" s="4"/>
      <c r="L36" s="4"/>
      <c r="N36" s="39"/>
    </row>
    <row r="37" spans="1:17" ht="15.75" thickBot="1" x14ac:dyDescent="0.3">
      <c r="A37" s="38"/>
      <c r="B37" s="38"/>
      <c r="C37" s="38"/>
      <c r="D37" s="38"/>
      <c r="E37" s="38"/>
      <c r="F37" s="4"/>
      <c r="G37" s="4"/>
      <c r="H37" s="4"/>
      <c r="I37" s="4"/>
      <c r="J37" s="4"/>
      <c r="K37" s="4"/>
      <c r="L37" s="4"/>
      <c r="N37" s="39"/>
      <c r="O37" s="39"/>
      <c r="Q37" s="39"/>
    </row>
    <row r="38" spans="1:17" ht="15.75" thickBot="1" x14ac:dyDescent="0.3">
      <c r="A38" s="7"/>
      <c r="B38" s="82" t="s">
        <v>10</v>
      </c>
      <c r="C38" s="83"/>
      <c r="D38" s="83"/>
      <c r="E38" s="83"/>
      <c r="F38" s="83"/>
      <c r="G38" s="84"/>
      <c r="H38" s="23" t="s">
        <v>25</v>
      </c>
      <c r="I38" s="85" t="s">
        <v>11</v>
      </c>
      <c r="J38" s="86"/>
      <c r="K38" s="86"/>
      <c r="L38" s="87"/>
      <c r="N38" s="39"/>
      <c r="O38" s="39"/>
      <c r="Q38" s="39"/>
    </row>
    <row r="39" spans="1:17" ht="45" x14ac:dyDescent="0.25">
      <c r="A39" s="88" t="s">
        <v>12</v>
      </c>
      <c r="B39" s="8" t="s">
        <v>32</v>
      </c>
      <c r="C39" s="55" t="s">
        <v>26</v>
      </c>
      <c r="D39" s="55" t="s">
        <v>36</v>
      </c>
      <c r="E39" s="55" t="s">
        <v>41</v>
      </c>
      <c r="F39" s="55" t="s">
        <v>29</v>
      </c>
      <c r="G39" s="9" t="s">
        <v>13</v>
      </c>
      <c r="H39" s="24" t="s">
        <v>14</v>
      </c>
      <c r="I39" s="8" t="s">
        <v>15</v>
      </c>
      <c r="J39" s="55" t="s">
        <v>16</v>
      </c>
      <c r="K39" s="55" t="s">
        <v>33</v>
      </c>
      <c r="L39" s="10" t="s">
        <v>17</v>
      </c>
      <c r="N39" s="39"/>
      <c r="O39" s="39"/>
      <c r="Q39" s="39"/>
    </row>
    <row r="40" spans="1:17" ht="15.75" thickBot="1" x14ac:dyDescent="0.3">
      <c r="A40" s="89"/>
      <c r="B40" s="11" t="s">
        <v>27</v>
      </c>
      <c r="C40" s="12" t="s">
        <v>27</v>
      </c>
      <c r="D40" s="12" t="s">
        <v>27</v>
      </c>
      <c r="E40" s="12" t="s">
        <v>27</v>
      </c>
      <c r="F40" s="12" t="s">
        <v>6</v>
      </c>
      <c r="G40" s="13" t="s">
        <v>7</v>
      </c>
      <c r="H40" s="25" t="s">
        <v>30</v>
      </c>
      <c r="I40" s="11" t="s">
        <v>6</v>
      </c>
      <c r="J40" s="12" t="s">
        <v>18</v>
      </c>
      <c r="K40" s="12" t="s">
        <v>7</v>
      </c>
      <c r="L40" s="14" t="s">
        <v>19</v>
      </c>
      <c r="N40" s="39"/>
      <c r="O40" s="39"/>
      <c r="Q40" s="39"/>
    </row>
    <row r="41" spans="1:17" x14ac:dyDescent="0.25">
      <c r="A41" s="1" t="s">
        <v>0</v>
      </c>
      <c r="B41" s="26">
        <v>21.6</v>
      </c>
      <c r="C41" s="27">
        <v>8.3000000000000007</v>
      </c>
      <c r="D41" s="27">
        <v>0.6</v>
      </c>
      <c r="E41" s="27"/>
      <c r="F41" s="16">
        <f>+B41+C41+D41+E41</f>
        <v>30.500000000000004</v>
      </c>
      <c r="G41" s="28">
        <f t="shared" ref="G41:G48" si="0">+F41/$B$52</f>
        <v>3.3134886146358429E-3</v>
      </c>
      <c r="H41" s="29">
        <v>247.42</v>
      </c>
      <c r="I41" s="15">
        <v>150</v>
      </c>
      <c r="J41" s="16">
        <f>+I41*$B$30</f>
        <v>420</v>
      </c>
      <c r="K41" s="30">
        <f>+(H41-I41)/I41</f>
        <v>0.64946666666666664</v>
      </c>
      <c r="L41" s="17">
        <f>+J41/H41</f>
        <v>1.6975183897825561</v>
      </c>
      <c r="M41" s="39"/>
      <c r="N41" s="39"/>
      <c r="O41" s="52"/>
      <c r="Q41" s="39"/>
    </row>
    <row r="42" spans="1:17" x14ac:dyDescent="0.25">
      <c r="A42" s="1" t="s">
        <v>1</v>
      </c>
      <c r="B42" s="32">
        <v>500.9</v>
      </c>
      <c r="C42" s="33">
        <v>41.2</v>
      </c>
      <c r="D42" s="33">
        <v>33.4</v>
      </c>
      <c r="E42" s="27">
        <v>5.6</v>
      </c>
      <c r="F42" s="16">
        <f t="shared" ref="F42:F48" si="1">+B42+C42+D42+E42</f>
        <v>581.1</v>
      </c>
      <c r="G42" s="28">
        <f t="shared" si="0"/>
        <v>6.3130106031635672E-2</v>
      </c>
      <c r="H42" s="34">
        <v>1300</v>
      </c>
      <c r="I42" s="15">
        <f>+F42+$B$35*G42</f>
        <v>581.80705718755439</v>
      </c>
      <c r="J42" s="16">
        <f t="shared" ref="J42:J51" si="2">+I42*$B$30</f>
        <v>1629.0597601251523</v>
      </c>
      <c r="K42" s="30">
        <f t="shared" ref="K42:K45" si="3">+(H42-I42)/I42</f>
        <v>1.2344177230922195</v>
      </c>
      <c r="L42" s="17">
        <f>+J42/H42</f>
        <v>1.2531228924039632</v>
      </c>
      <c r="M42" s="39"/>
      <c r="N42" s="39"/>
      <c r="O42" s="53"/>
    </row>
    <row r="43" spans="1:17" x14ac:dyDescent="0.25">
      <c r="A43" s="1" t="s">
        <v>2</v>
      </c>
      <c r="B43" s="32">
        <v>2861.6</v>
      </c>
      <c r="C43" s="33">
        <v>273.8</v>
      </c>
      <c r="D43" s="33">
        <v>126.9</v>
      </c>
      <c r="E43" s="27">
        <v>64</v>
      </c>
      <c r="F43" s="16">
        <f t="shared" si="1"/>
        <v>3326.3</v>
      </c>
      <c r="G43" s="28">
        <f t="shared" si="0"/>
        <v>0.36136580914305583</v>
      </c>
      <c r="H43" s="34">
        <v>6390</v>
      </c>
      <c r="I43" s="15">
        <f>+F43+$B$35*G43</f>
        <v>3330.3472970624025</v>
      </c>
      <c r="J43" s="16">
        <f t="shared" si="2"/>
        <v>9324.9724317747259</v>
      </c>
      <c r="K43" s="30">
        <f>+(H43-I43)/I43</f>
        <v>0.91871880918738524</v>
      </c>
      <c r="L43" s="17">
        <f t="shared" ref="L43:L44" si="4">+J43/H43</f>
        <v>1.4593071098239008</v>
      </c>
      <c r="M43" s="39"/>
      <c r="N43" s="39"/>
      <c r="O43" s="52"/>
    </row>
    <row r="44" spans="1:17" x14ac:dyDescent="0.25">
      <c r="A44" s="1" t="s">
        <v>3</v>
      </c>
      <c r="B44" s="32">
        <v>2327.6</v>
      </c>
      <c r="C44" s="33">
        <v>247.7</v>
      </c>
      <c r="D44" s="33">
        <v>177.1</v>
      </c>
      <c r="E44" s="27"/>
      <c r="F44" s="16">
        <f t="shared" si="1"/>
        <v>2752.3999999999996</v>
      </c>
      <c r="G44" s="28">
        <f t="shared" si="0"/>
        <v>0.2990179037024161</v>
      </c>
      <c r="H44" s="34">
        <v>6620</v>
      </c>
      <c r="I44" s="15">
        <f t="shared" ref="I44:I51" si="5">+F44+$B$35*G44</f>
        <v>2755.7490005214668</v>
      </c>
      <c r="J44" s="16">
        <f t="shared" si="2"/>
        <v>7716.0972014601066</v>
      </c>
      <c r="K44" s="30">
        <f t="shared" si="3"/>
        <v>1.402250712509487</v>
      </c>
      <c r="L44" s="17">
        <f t="shared" si="4"/>
        <v>1.165573595386723</v>
      </c>
      <c r="M44" s="39"/>
      <c r="N44" s="39"/>
      <c r="O44" s="52"/>
    </row>
    <row r="45" spans="1:17" x14ac:dyDescent="0.25">
      <c r="A45" s="1" t="s">
        <v>4</v>
      </c>
      <c r="B45" s="32">
        <v>553</v>
      </c>
      <c r="C45" s="33">
        <v>47.4</v>
      </c>
      <c r="D45" s="33">
        <v>15.7</v>
      </c>
      <c r="E45" s="27">
        <v>11</v>
      </c>
      <c r="F45" s="16">
        <f t="shared" si="1"/>
        <v>627.1</v>
      </c>
      <c r="G45" s="28">
        <f t="shared" si="0"/>
        <v>6.8127498696332361E-2</v>
      </c>
      <c r="H45" s="34">
        <v>1230</v>
      </c>
      <c r="I45" s="15">
        <f t="shared" si="5"/>
        <v>627.86302798539896</v>
      </c>
      <c r="J45" s="16">
        <f t="shared" si="2"/>
        <v>1758.0164783591169</v>
      </c>
      <c r="K45" s="30">
        <f t="shared" si="3"/>
        <v>0.95902600595332999</v>
      </c>
      <c r="L45" s="17">
        <f>+J45/H45</f>
        <v>1.4292816897228593</v>
      </c>
      <c r="M45" s="39"/>
      <c r="N45" s="39"/>
      <c r="O45" s="54"/>
    </row>
    <row r="46" spans="1:17" x14ac:dyDescent="0.25">
      <c r="A46" s="1" t="s">
        <v>21</v>
      </c>
      <c r="B46" s="32">
        <v>2.5</v>
      </c>
      <c r="C46" s="33">
        <v>0.5</v>
      </c>
      <c r="D46" s="33"/>
      <c r="E46" s="27"/>
      <c r="F46" s="16">
        <f t="shared" si="1"/>
        <v>3</v>
      </c>
      <c r="G46" s="28">
        <f t="shared" si="0"/>
        <v>3.2591691291500091E-4</v>
      </c>
      <c r="H46" s="34">
        <v>57.17</v>
      </c>
      <c r="I46" s="15">
        <v>100</v>
      </c>
      <c r="J46" s="16">
        <f t="shared" si="2"/>
        <v>280</v>
      </c>
      <c r="K46" s="30"/>
      <c r="L46" s="17"/>
      <c r="M46" s="39"/>
      <c r="N46" s="39"/>
      <c r="O46" s="52"/>
    </row>
    <row r="47" spans="1:17" x14ac:dyDescent="0.25">
      <c r="A47" s="31" t="s">
        <v>35</v>
      </c>
      <c r="B47" s="32">
        <v>1421.9</v>
      </c>
      <c r="C47" s="33">
        <v>156.1</v>
      </c>
      <c r="D47" s="33">
        <v>109.7</v>
      </c>
      <c r="E47" s="27">
        <v>38.299999999999997</v>
      </c>
      <c r="F47" s="16">
        <f t="shared" si="1"/>
        <v>1726</v>
      </c>
      <c r="G47" s="28">
        <f t="shared" si="0"/>
        <v>0.18751086389709717</v>
      </c>
      <c r="H47" s="34">
        <v>3790</v>
      </c>
      <c r="I47" s="15">
        <f t="shared" si="5"/>
        <v>1728.1001216756476</v>
      </c>
      <c r="J47" s="16">
        <f t="shared" si="2"/>
        <v>4838.6803406918134</v>
      </c>
      <c r="K47" s="30">
        <f t="shared" ref="K47:K48" si="6">+(H47-I47)/I47</f>
        <v>1.1931599636281702</v>
      </c>
      <c r="L47" s="17">
        <f t="shared" ref="L47:L48" si="7">+J47/H47</f>
        <v>1.2766966598131433</v>
      </c>
      <c r="M47" s="39"/>
      <c r="N47" s="39"/>
      <c r="O47" s="54"/>
    </row>
    <row r="48" spans="1:17" x14ac:dyDescent="0.25">
      <c r="A48" s="31" t="s">
        <v>39</v>
      </c>
      <c r="B48" s="32">
        <v>113.1</v>
      </c>
      <c r="C48" s="33">
        <v>26.5</v>
      </c>
      <c r="D48" s="33">
        <v>15</v>
      </c>
      <c r="E48" s="27">
        <v>3.8</v>
      </c>
      <c r="F48" s="16">
        <f t="shared" si="1"/>
        <v>158.4</v>
      </c>
      <c r="G48" s="28">
        <f t="shared" si="0"/>
        <v>1.7208413001912049E-2</v>
      </c>
      <c r="H48" s="34">
        <v>606.41999999999996</v>
      </c>
      <c r="I48" s="15">
        <f t="shared" si="5"/>
        <v>158.59273422562143</v>
      </c>
      <c r="J48" s="16">
        <f t="shared" si="2"/>
        <v>444.05965583173997</v>
      </c>
      <c r="K48" s="30">
        <f t="shared" si="6"/>
        <v>2.8237565104166662</v>
      </c>
      <c r="L48" s="17">
        <f t="shared" si="7"/>
        <v>0.73226419945209587</v>
      </c>
      <c r="M48" s="39"/>
      <c r="N48" s="39"/>
      <c r="O48" s="54"/>
    </row>
    <row r="49" spans="1:16" x14ac:dyDescent="0.25">
      <c r="A49" s="31" t="s">
        <v>5</v>
      </c>
      <c r="B49" s="32">
        <v>801.3</v>
      </c>
      <c r="C49" s="33"/>
      <c r="D49" s="33"/>
      <c r="E49" s="27"/>
      <c r="F49" s="16"/>
      <c r="G49" s="28"/>
      <c r="H49" s="34"/>
      <c r="I49" s="15">
        <f t="shared" si="5"/>
        <v>0</v>
      </c>
      <c r="J49" s="16">
        <f t="shared" si="2"/>
        <v>0</v>
      </c>
      <c r="K49" s="57"/>
      <c r="L49" s="58"/>
      <c r="M49" s="39"/>
      <c r="N49" s="39"/>
      <c r="O49" s="54"/>
    </row>
    <row r="50" spans="1:16" x14ac:dyDescent="0.25">
      <c r="A50" s="19" t="s">
        <v>37</v>
      </c>
      <c r="B50" s="41">
        <v>478.5</v>
      </c>
      <c r="C50" s="33"/>
      <c r="D50" s="33"/>
      <c r="E50" s="33"/>
      <c r="F50" s="18"/>
      <c r="G50" s="65"/>
      <c r="H50" s="34"/>
      <c r="I50" s="66">
        <f t="shared" ref="I50" si="8">+F50+$B$35*G50</f>
        <v>0</v>
      </c>
      <c r="J50" s="18">
        <f t="shared" ref="J50" si="9">+I50*$B$30</f>
        <v>0</v>
      </c>
      <c r="K50" s="61"/>
      <c r="L50" s="62"/>
      <c r="M50" s="39"/>
      <c r="N50" s="39"/>
      <c r="O50" s="39"/>
    </row>
    <row r="51" spans="1:16" ht="15.75" thickBot="1" x14ac:dyDescent="0.3">
      <c r="A51" s="19" t="s">
        <v>40</v>
      </c>
      <c r="B51" s="41">
        <v>122.8</v>
      </c>
      <c r="C51" s="63"/>
      <c r="D51" s="63"/>
      <c r="E51" s="63"/>
      <c r="F51" s="44"/>
      <c r="G51" s="42"/>
      <c r="H51" s="64"/>
      <c r="I51" s="43">
        <f t="shared" si="5"/>
        <v>0</v>
      </c>
      <c r="J51" s="44">
        <f t="shared" si="2"/>
        <v>0</v>
      </c>
      <c r="K51" s="59"/>
      <c r="L51" s="60"/>
      <c r="M51" s="39"/>
      <c r="N51" s="39"/>
      <c r="O51" s="39"/>
    </row>
    <row r="52" spans="1:16" s="37" customFormat="1" ht="15.75" thickBot="1" x14ac:dyDescent="0.3">
      <c r="A52" s="35" t="s">
        <v>20</v>
      </c>
      <c r="B52" s="45">
        <f>SUM(B41:B51)</f>
        <v>9204.7999999999993</v>
      </c>
      <c r="C52" s="46">
        <f t="shared" ref="C52:H52" si="10">SUM(C41:C51)</f>
        <v>801.5</v>
      </c>
      <c r="D52" s="46">
        <f t="shared" si="10"/>
        <v>478.4</v>
      </c>
      <c r="E52" s="46">
        <f t="shared" si="10"/>
        <v>122.69999999999999</v>
      </c>
      <c r="F52" s="46">
        <f>SUM(F41:F51)</f>
        <v>9204.7999999999993</v>
      </c>
      <c r="G52" s="47">
        <f>SUM(G41:G51)</f>
        <v>1</v>
      </c>
      <c r="H52" s="36">
        <f t="shared" si="10"/>
        <v>20241.009999999998</v>
      </c>
      <c r="I52" s="46">
        <f>SUM(I41:I51)</f>
        <v>9432.4592386580916</v>
      </c>
      <c r="J52" s="46">
        <f>SUM(J41:J51)</f>
        <v>26410.885868242658</v>
      </c>
      <c r="K52" s="48">
        <f>+(H52-I52)/I52</f>
        <v>1.1458889445335769</v>
      </c>
      <c r="L52" s="49">
        <f>+J52/H52</f>
        <v>1.3048205533341795</v>
      </c>
      <c r="M52" s="39"/>
      <c r="N52" s="39"/>
      <c r="O52" s="39"/>
      <c r="P52" s="50"/>
    </row>
    <row r="53" spans="1:16" x14ac:dyDescent="0.25">
      <c r="M53" s="39"/>
      <c r="N53" s="39"/>
    </row>
    <row r="54" spans="1:16" x14ac:dyDescent="0.25">
      <c r="I54" s="51"/>
      <c r="M54" s="39"/>
      <c r="N54" s="39"/>
    </row>
    <row r="55" spans="1:16" x14ac:dyDescent="0.25">
      <c r="A55" t="s">
        <v>21</v>
      </c>
      <c r="J55" s="40"/>
      <c r="L55" s="40"/>
      <c r="M55" s="39"/>
    </row>
    <row r="79" spans="1:1" x14ac:dyDescent="0.25">
      <c r="A79" t="s">
        <v>31</v>
      </c>
    </row>
    <row r="102" spans="1:1" x14ac:dyDescent="0.25">
      <c r="A102" t="s">
        <v>4</v>
      </c>
    </row>
    <row r="126" spans="1:1" x14ac:dyDescent="0.25">
      <c r="A126" t="s">
        <v>0</v>
      </c>
    </row>
    <row r="150" spans="1:1" x14ac:dyDescent="0.25">
      <c r="A150" t="s">
        <v>3</v>
      </c>
    </row>
    <row r="174" spans="1:1" x14ac:dyDescent="0.25">
      <c r="A174" t="s">
        <v>2</v>
      </c>
    </row>
    <row r="197" spans="1:1" x14ac:dyDescent="0.25">
      <c r="A197" t="s">
        <v>34</v>
      </c>
    </row>
    <row r="220" spans="1:1" x14ac:dyDescent="0.25">
      <c r="A220" t="s">
        <v>39</v>
      </c>
    </row>
  </sheetData>
  <mergeCells count="4">
    <mergeCell ref="A28:L28"/>
    <mergeCell ref="B38:G38"/>
    <mergeCell ref="I38:L38"/>
    <mergeCell ref="A39:A40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9"/>
  <sheetViews>
    <sheetView topLeftCell="A7" zoomScaleNormal="100" workbookViewId="0">
      <selection activeCell="B8" sqref="B8"/>
    </sheetView>
  </sheetViews>
  <sheetFormatPr defaultRowHeight="15" x14ac:dyDescent="0.25"/>
  <cols>
    <col min="1" max="1" width="30.140625" bestFit="1" customWidth="1"/>
    <col min="2" max="3" width="10.5703125" bestFit="1" customWidth="1"/>
    <col min="4" max="5" width="10.5703125" customWidth="1"/>
    <col min="6" max="6" width="10.5703125" bestFit="1" customWidth="1"/>
    <col min="7" max="7" width="11.7109375" bestFit="1" customWidth="1"/>
    <col min="8" max="8" width="10.7109375" bestFit="1" customWidth="1"/>
    <col min="9" max="9" width="10.5703125" bestFit="1" customWidth="1"/>
    <col min="10" max="10" width="8.28515625" bestFit="1" customWidth="1"/>
    <col min="11" max="11" width="12.5703125" bestFit="1" customWidth="1"/>
    <col min="12" max="12" width="11.42578125" customWidth="1"/>
    <col min="13" max="13" width="9.140625" customWidth="1"/>
    <col min="14" max="14" width="11.140625" bestFit="1" customWidth="1"/>
    <col min="15" max="15" width="10.5703125" bestFit="1" customWidth="1"/>
  </cols>
  <sheetData>
    <row r="1" spans="1:17" ht="15.75" thickBot="1" x14ac:dyDescent="0.3"/>
    <row r="2" spans="1:17" ht="19.5" thickBot="1" x14ac:dyDescent="0.35">
      <c r="A2" s="79" t="s">
        <v>43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1"/>
    </row>
    <row r="3" spans="1:17" x14ac:dyDescent="0.25">
      <c r="M3" s="39"/>
      <c r="N3" s="39"/>
    </row>
    <row r="4" spans="1:17" x14ac:dyDescent="0.25">
      <c r="A4" s="20" t="s">
        <v>8</v>
      </c>
      <c r="B4" s="21">
        <v>2.8</v>
      </c>
      <c r="C4" s="3"/>
      <c r="D4" s="3"/>
      <c r="E4" s="3"/>
      <c r="G4" s="2"/>
      <c r="H4" s="39"/>
      <c r="I4" s="39"/>
      <c r="J4" s="3"/>
      <c r="K4" s="3"/>
      <c r="L4" s="3"/>
      <c r="M4" s="39"/>
      <c r="N4" s="39"/>
    </row>
    <row r="5" spans="1:17" x14ac:dyDescent="0.25">
      <c r="A5" s="20" t="s">
        <v>22</v>
      </c>
      <c r="B5" s="22">
        <f>9*1024</f>
        <v>9216</v>
      </c>
      <c r="C5" s="3"/>
      <c r="D5" s="3"/>
      <c r="E5" s="3"/>
      <c r="G5" s="2"/>
      <c r="H5" s="39"/>
      <c r="I5" s="39"/>
      <c r="J5" s="6"/>
      <c r="K5" s="6"/>
      <c r="L5" s="6"/>
      <c r="M5" s="39"/>
      <c r="N5" s="39"/>
    </row>
    <row r="6" spans="1:17" x14ac:dyDescent="0.25">
      <c r="A6" s="20"/>
      <c r="B6" s="22"/>
      <c r="C6" s="3"/>
      <c r="D6" s="3"/>
      <c r="E6" s="3"/>
      <c r="H6" s="39"/>
      <c r="I6" s="39"/>
      <c r="J6" s="6"/>
      <c r="K6" s="6"/>
      <c r="L6" s="6"/>
      <c r="M6" s="39"/>
      <c r="N6" s="39"/>
      <c r="O6" s="2"/>
      <c r="P6" s="4"/>
      <c r="Q6" s="4"/>
    </row>
    <row r="7" spans="1:17" x14ac:dyDescent="0.25">
      <c r="A7" s="20" t="s">
        <v>23</v>
      </c>
      <c r="B7" s="22">
        <v>11610</v>
      </c>
      <c r="C7" s="3"/>
      <c r="D7" s="3"/>
      <c r="E7" s="3"/>
      <c r="F7" s="40"/>
      <c r="G7" s="2"/>
      <c r="H7" s="39"/>
      <c r="I7" s="39"/>
      <c r="J7" s="6"/>
      <c r="K7" s="6"/>
      <c r="L7" s="6"/>
      <c r="M7" s="39"/>
      <c r="N7" s="39"/>
      <c r="O7" s="5"/>
      <c r="P7" s="4"/>
      <c r="Q7" s="4"/>
    </row>
    <row r="8" spans="1:17" x14ac:dyDescent="0.25">
      <c r="A8" s="20" t="s">
        <v>24</v>
      </c>
      <c r="B8" s="22">
        <v>25200</v>
      </c>
      <c r="C8" s="3"/>
      <c r="D8" s="3"/>
      <c r="E8" s="3"/>
      <c r="G8" s="2"/>
      <c r="H8" s="39"/>
      <c r="I8" s="39"/>
      <c r="J8" s="6"/>
      <c r="K8" s="6"/>
      <c r="L8" s="6"/>
      <c r="N8" s="39"/>
    </row>
    <row r="9" spans="1:17" x14ac:dyDescent="0.25">
      <c r="A9" s="20" t="s">
        <v>38</v>
      </c>
      <c r="B9" s="56"/>
      <c r="C9" s="3"/>
      <c r="D9" s="3"/>
      <c r="E9" s="3"/>
      <c r="G9" s="2"/>
      <c r="H9" s="39"/>
      <c r="I9" s="39"/>
      <c r="J9" s="6"/>
      <c r="K9" s="6"/>
      <c r="L9" s="6"/>
      <c r="N9" s="39"/>
    </row>
    <row r="10" spans="1:17" x14ac:dyDescent="0.25">
      <c r="A10" s="20"/>
      <c r="B10" s="56"/>
      <c r="C10" s="4"/>
      <c r="D10" s="4"/>
      <c r="E10" s="4"/>
      <c r="F10" s="4"/>
      <c r="G10" s="4"/>
      <c r="H10" s="4"/>
      <c r="I10" s="39"/>
      <c r="J10" s="4"/>
      <c r="K10" s="4"/>
      <c r="L10" s="4"/>
      <c r="N10" s="39"/>
    </row>
    <row r="11" spans="1:17" ht="15.75" thickBot="1" x14ac:dyDescent="0.3">
      <c r="A11" s="38"/>
      <c r="B11" s="38"/>
      <c r="C11" s="38"/>
      <c r="D11" s="38"/>
      <c r="E11" s="38"/>
      <c r="F11" s="4"/>
      <c r="G11" s="4"/>
      <c r="H11" s="4"/>
      <c r="I11" s="4"/>
      <c r="J11" s="4"/>
      <c r="K11" s="4"/>
      <c r="L11" s="4"/>
      <c r="N11" s="39"/>
      <c r="O11" s="39"/>
      <c r="Q11" s="39"/>
    </row>
    <row r="12" spans="1:17" ht="15.75" thickBot="1" x14ac:dyDescent="0.3">
      <c r="A12" s="7"/>
      <c r="B12" s="82" t="s">
        <v>10</v>
      </c>
      <c r="C12" s="83"/>
      <c r="D12" s="83"/>
      <c r="E12" s="83"/>
      <c r="F12" s="83"/>
      <c r="G12" s="84"/>
      <c r="H12" s="23" t="s">
        <v>25</v>
      </c>
      <c r="I12" s="85" t="s">
        <v>11</v>
      </c>
      <c r="J12" s="86"/>
      <c r="K12" s="86"/>
      <c r="L12" s="87"/>
      <c r="N12" s="39"/>
      <c r="O12" s="39"/>
      <c r="Q12" s="39"/>
    </row>
    <row r="13" spans="1:17" ht="45" x14ac:dyDescent="0.25">
      <c r="A13" s="88" t="s">
        <v>12</v>
      </c>
      <c r="B13" s="8" t="s">
        <v>32</v>
      </c>
      <c r="C13" s="55" t="s">
        <v>26</v>
      </c>
      <c r="D13" s="55" t="s">
        <v>36</v>
      </c>
      <c r="E13" s="55" t="s">
        <v>41</v>
      </c>
      <c r="F13" s="55" t="s">
        <v>29</v>
      </c>
      <c r="G13" s="9" t="s">
        <v>13</v>
      </c>
      <c r="H13" s="24" t="s">
        <v>14</v>
      </c>
      <c r="I13" s="8" t="s">
        <v>15</v>
      </c>
      <c r="J13" s="55" t="s">
        <v>16</v>
      </c>
      <c r="K13" s="55" t="s">
        <v>33</v>
      </c>
      <c r="L13" s="10" t="s">
        <v>17</v>
      </c>
      <c r="N13" s="39"/>
      <c r="O13" s="39"/>
      <c r="Q13" s="39"/>
    </row>
    <row r="14" spans="1:17" ht="15.75" thickBot="1" x14ac:dyDescent="0.3">
      <c r="A14" s="89"/>
      <c r="B14" s="11" t="s">
        <v>27</v>
      </c>
      <c r="C14" s="12" t="s">
        <v>27</v>
      </c>
      <c r="D14" s="12" t="s">
        <v>27</v>
      </c>
      <c r="E14" s="12" t="s">
        <v>27</v>
      </c>
      <c r="F14" s="12" t="s">
        <v>6</v>
      </c>
      <c r="G14" s="13" t="s">
        <v>7</v>
      </c>
      <c r="H14" s="25" t="s">
        <v>30</v>
      </c>
      <c r="I14" s="11" t="s">
        <v>6</v>
      </c>
      <c r="J14" s="12" t="s">
        <v>18</v>
      </c>
      <c r="K14" s="12" t="s">
        <v>7</v>
      </c>
      <c r="L14" s="14" t="s">
        <v>19</v>
      </c>
      <c r="N14" s="39"/>
      <c r="O14" s="39"/>
      <c r="Q14" s="39"/>
    </row>
    <row r="15" spans="1:17" x14ac:dyDescent="0.25">
      <c r="A15" s="1" t="s">
        <v>0</v>
      </c>
      <c r="B15" s="26">
        <v>24</v>
      </c>
      <c r="C15" s="27">
        <v>10.199999999999999</v>
      </c>
      <c r="D15" s="27">
        <v>0.6</v>
      </c>
      <c r="E15" s="27"/>
      <c r="F15" s="16">
        <f>+B15+C15+D15+E15</f>
        <v>34.800000000000004</v>
      </c>
      <c r="G15" s="67">
        <f>+F15/$B$26</f>
        <v>3.7717444317997085E-3</v>
      </c>
      <c r="H15" s="29">
        <v>254</v>
      </c>
      <c r="I15" s="15">
        <v>150</v>
      </c>
      <c r="J15" s="16">
        <f>+I15*$B$4</f>
        <v>420</v>
      </c>
      <c r="K15" s="30"/>
      <c r="L15" s="17">
        <f>+J15/H15</f>
        <v>1.6535433070866141</v>
      </c>
      <c r="M15" s="39"/>
      <c r="N15" s="39"/>
      <c r="O15" s="52"/>
      <c r="Q15" s="39"/>
    </row>
    <row r="16" spans="1:17" x14ac:dyDescent="0.25">
      <c r="A16" s="1" t="s">
        <v>1</v>
      </c>
      <c r="B16" s="32">
        <v>518.9</v>
      </c>
      <c r="C16" s="33">
        <v>40.799999999999997</v>
      </c>
      <c r="D16" s="33">
        <v>30.9</v>
      </c>
      <c r="E16" s="27"/>
      <c r="F16" s="16">
        <f t="shared" ref="F16:F22" si="0">+B16+C16+D16+E16</f>
        <v>590.59999999999991</v>
      </c>
      <c r="G16" s="67">
        <f t="shared" ref="G16:G22" si="1">+F16/$B$26</f>
        <v>6.4011271879911125E-2</v>
      </c>
      <c r="H16" s="34">
        <v>1370</v>
      </c>
      <c r="I16" s="15">
        <f>+F16+$B$9*G16</f>
        <v>590.59999999999991</v>
      </c>
      <c r="J16" s="16">
        <f t="shared" ref="J16:J22" si="2">+I16*$B$4</f>
        <v>1653.6799999999996</v>
      </c>
      <c r="K16" s="30">
        <f t="shared" ref="K16" si="3">+(H16-I16)/I16</f>
        <v>1.3196749068743654</v>
      </c>
      <c r="L16" s="17">
        <f>+J16/H16</f>
        <v>1.2070656934306567</v>
      </c>
      <c r="M16" s="39"/>
      <c r="N16" s="39"/>
      <c r="O16" s="53"/>
    </row>
    <row r="17" spans="1:16" x14ac:dyDescent="0.25">
      <c r="A17" s="1" t="s">
        <v>2</v>
      </c>
      <c r="B17" s="32">
        <v>2912.2</v>
      </c>
      <c r="C17" s="33">
        <v>266.5</v>
      </c>
      <c r="D17" s="33">
        <v>125.9</v>
      </c>
      <c r="E17" s="27"/>
      <c r="F17" s="16">
        <f t="shared" si="0"/>
        <v>3304.6</v>
      </c>
      <c r="G17" s="67">
        <f t="shared" si="1"/>
        <v>0.3581639841760148</v>
      </c>
      <c r="H17" s="34">
        <v>6920</v>
      </c>
      <c r="I17" s="15">
        <f>+F17+$B$9*G17</f>
        <v>3304.6</v>
      </c>
      <c r="J17" s="16">
        <f t="shared" si="2"/>
        <v>9252.8799999999992</v>
      </c>
      <c r="K17" s="30">
        <f>+(H17-I17)/I17</f>
        <v>1.0940507171821099</v>
      </c>
      <c r="L17" s="17">
        <f t="shared" ref="L17:L18" si="4">+J17/H17</f>
        <v>1.3371213872832368</v>
      </c>
      <c r="M17" s="39"/>
      <c r="N17" s="39"/>
      <c r="O17" s="52"/>
    </row>
    <row r="18" spans="1:16" x14ac:dyDescent="0.25">
      <c r="A18" s="1" t="s">
        <v>3</v>
      </c>
      <c r="B18" s="32">
        <v>2360.4</v>
      </c>
      <c r="C18" s="33">
        <v>240.5</v>
      </c>
      <c r="D18" s="33">
        <v>171.1</v>
      </c>
      <c r="E18" s="27"/>
      <c r="F18" s="16">
        <f t="shared" si="0"/>
        <v>2772</v>
      </c>
      <c r="G18" s="67">
        <f t="shared" si="1"/>
        <v>0.30043895301576984</v>
      </c>
      <c r="H18" s="34">
        <v>6700</v>
      </c>
      <c r="I18" s="15">
        <f>+F18+$B$9*G18</f>
        <v>2772</v>
      </c>
      <c r="J18" s="16">
        <f t="shared" si="2"/>
        <v>7761.5999999999995</v>
      </c>
      <c r="K18" s="30">
        <f t="shared" ref="K18:K19" si="5">+(H18-I18)/I18</f>
        <v>1.4170274170274171</v>
      </c>
      <c r="L18" s="17">
        <f t="shared" si="4"/>
        <v>1.1584477611940298</v>
      </c>
      <c r="M18" s="39"/>
      <c r="N18" s="39"/>
      <c r="O18" s="52"/>
    </row>
    <row r="19" spans="1:16" x14ac:dyDescent="0.25">
      <c r="A19" s="1" t="s">
        <v>4</v>
      </c>
      <c r="B19" s="32">
        <v>550.9</v>
      </c>
      <c r="C19" s="33">
        <v>47.4</v>
      </c>
      <c r="D19" s="33">
        <v>15.7</v>
      </c>
      <c r="E19" s="27"/>
      <c r="F19" s="16">
        <f t="shared" si="0"/>
        <v>614</v>
      </c>
      <c r="G19" s="67">
        <f t="shared" si="1"/>
        <v>6.6547444859914387E-2</v>
      </c>
      <c r="H19" s="34">
        <v>1260</v>
      </c>
      <c r="I19" s="15">
        <f>+F19+$B$9*G19</f>
        <v>614</v>
      </c>
      <c r="J19" s="16">
        <f t="shared" si="2"/>
        <v>1719.1999999999998</v>
      </c>
      <c r="K19" s="30">
        <f t="shared" si="5"/>
        <v>1.0521172638436482</v>
      </c>
      <c r="L19" s="17">
        <f>+J19/H19</f>
        <v>1.3644444444444443</v>
      </c>
      <c r="M19" s="39"/>
      <c r="N19" s="39"/>
      <c r="O19" s="54"/>
    </row>
    <row r="20" spans="1:16" x14ac:dyDescent="0.25">
      <c r="A20" s="1" t="s">
        <v>21</v>
      </c>
      <c r="B20" s="32">
        <v>11.9</v>
      </c>
      <c r="C20" s="33">
        <v>2.4</v>
      </c>
      <c r="D20" s="33"/>
      <c r="E20" s="27"/>
      <c r="F20" s="16">
        <f t="shared" si="0"/>
        <v>14.3</v>
      </c>
      <c r="G20" s="67">
        <f t="shared" si="1"/>
        <v>1.5498834877797651E-3</v>
      </c>
      <c r="H20" s="34">
        <v>117.71</v>
      </c>
      <c r="I20" s="15">
        <v>100</v>
      </c>
      <c r="J20" s="16">
        <f t="shared" si="2"/>
        <v>280</v>
      </c>
      <c r="K20" s="30"/>
      <c r="L20" s="17"/>
      <c r="M20" s="39"/>
      <c r="N20" s="39"/>
      <c r="O20" s="52"/>
    </row>
    <row r="21" spans="1:16" x14ac:dyDescent="0.25">
      <c r="A21" s="31" t="s">
        <v>35</v>
      </c>
      <c r="B21" s="32">
        <v>1468.2</v>
      </c>
      <c r="C21" s="33">
        <v>157.4</v>
      </c>
      <c r="D21" s="33">
        <v>109.1</v>
      </c>
      <c r="E21" s="27"/>
      <c r="F21" s="16">
        <f t="shared" si="0"/>
        <v>1734.7</v>
      </c>
      <c r="G21" s="67">
        <f t="shared" si="1"/>
        <v>0.18801278924836073</v>
      </c>
      <c r="H21" s="34">
        <v>3940</v>
      </c>
      <c r="I21" s="15">
        <f>+F21+$B$9*G21</f>
        <v>1734.7</v>
      </c>
      <c r="J21" s="16">
        <f t="shared" si="2"/>
        <v>4857.16</v>
      </c>
      <c r="K21" s="30">
        <f t="shared" ref="K21:K22" si="6">+(H21-I21)/I21</f>
        <v>1.2712861013431718</v>
      </c>
      <c r="L21" s="17">
        <f t="shared" ref="L21:L22" si="7">+J21/H21</f>
        <v>1.2327817258883249</v>
      </c>
      <c r="M21" s="39"/>
      <c r="N21" s="39"/>
      <c r="O21" s="54"/>
    </row>
    <row r="22" spans="1:16" x14ac:dyDescent="0.25">
      <c r="A22" s="31" t="s">
        <v>39</v>
      </c>
      <c r="B22" s="32">
        <v>109.1</v>
      </c>
      <c r="C22" s="33">
        <v>34.700000000000003</v>
      </c>
      <c r="D22" s="33">
        <v>17.600000000000001</v>
      </c>
      <c r="E22" s="27"/>
      <c r="F22" s="16">
        <f t="shared" si="0"/>
        <v>161.4</v>
      </c>
      <c r="G22" s="67">
        <f t="shared" si="1"/>
        <v>1.7493090554381405E-2</v>
      </c>
      <c r="H22" s="34">
        <v>785.53</v>
      </c>
      <c r="I22" s="15">
        <f>+F22+$B$9*G22</f>
        <v>161.4</v>
      </c>
      <c r="J22" s="16">
        <f t="shared" si="2"/>
        <v>451.91999999999996</v>
      </c>
      <c r="K22" s="30">
        <f t="shared" si="6"/>
        <v>3.8669764560099131</v>
      </c>
      <c r="L22" s="17">
        <f t="shared" si="7"/>
        <v>0.57530584446170097</v>
      </c>
      <c r="M22" s="39"/>
      <c r="N22" s="39"/>
      <c r="O22" s="54"/>
    </row>
    <row r="23" spans="1:16" x14ac:dyDescent="0.25">
      <c r="A23" s="31" t="s">
        <v>5</v>
      </c>
      <c r="B23" s="32">
        <v>799.8</v>
      </c>
      <c r="C23" s="33"/>
      <c r="D23" s="33"/>
      <c r="E23" s="27"/>
      <c r="F23" s="16"/>
      <c r="G23" s="28"/>
      <c r="H23" s="34"/>
      <c r="I23" s="15"/>
      <c r="J23" s="16"/>
      <c r="K23" s="57"/>
      <c r="L23" s="58"/>
      <c r="M23" s="39"/>
      <c r="N23" s="39"/>
      <c r="O23" s="54"/>
    </row>
    <row r="24" spans="1:16" x14ac:dyDescent="0.25">
      <c r="A24" s="19" t="s">
        <v>37</v>
      </c>
      <c r="B24" s="41">
        <v>470.8</v>
      </c>
      <c r="C24" s="33"/>
      <c r="D24" s="33"/>
      <c r="E24" s="33"/>
      <c r="F24" s="18"/>
      <c r="G24" s="65"/>
      <c r="H24" s="34"/>
      <c r="I24" s="66"/>
      <c r="J24" s="18"/>
      <c r="K24" s="61"/>
      <c r="L24" s="62"/>
      <c r="M24" s="39"/>
      <c r="N24" s="39"/>
      <c r="O24" s="39"/>
    </row>
    <row r="25" spans="1:16" ht="15.75" thickBot="1" x14ac:dyDescent="0.3">
      <c r="A25" s="19" t="s">
        <v>40</v>
      </c>
      <c r="B25" s="41">
        <v>0.3</v>
      </c>
      <c r="C25" s="63"/>
      <c r="D25" s="63"/>
      <c r="E25" s="63"/>
      <c r="F25" s="44"/>
      <c r="G25" s="42"/>
      <c r="H25" s="64"/>
      <c r="I25" s="43"/>
      <c r="J25" s="44"/>
      <c r="K25" s="59"/>
      <c r="L25" s="60"/>
      <c r="M25" s="39"/>
      <c r="N25" s="39"/>
      <c r="O25" s="39"/>
    </row>
    <row r="26" spans="1:16" s="37" customFormat="1" ht="15.75" thickBot="1" x14ac:dyDescent="0.3">
      <c r="A26" s="35" t="s">
        <v>20</v>
      </c>
      <c r="B26" s="45">
        <f>SUM(B15:B25)</f>
        <v>9226.4999999999982</v>
      </c>
      <c r="C26" s="46">
        <f t="shared" ref="C26:E26" si="8">SUM(C15:C25)</f>
        <v>799.9</v>
      </c>
      <c r="D26" s="46">
        <f t="shared" si="8"/>
        <v>470.9</v>
      </c>
      <c r="E26" s="46">
        <f t="shared" si="8"/>
        <v>0</v>
      </c>
      <c r="F26" s="46">
        <f>SUM(F15:F25)</f>
        <v>9226.4</v>
      </c>
      <c r="G26" s="47">
        <f>SUM(G15:G25)</f>
        <v>0.99998916165393181</v>
      </c>
      <c r="H26" s="36">
        <f t="shared" ref="H26" si="9">SUM(H15:H25)</f>
        <v>21347.239999999998</v>
      </c>
      <c r="I26" s="46">
        <f>SUM(I15:I25)</f>
        <v>9427.2999999999993</v>
      </c>
      <c r="J26" s="46">
        <f>SUM(J15:J25)</f>
        <v>26396.439999999995</v>
      </c>
      <c r="K26" s="48">
        <f>+(H26-I26)/I26</f>
        <v>1.2644065639154369</v>
      </c>
      <c r="L26" s="49">
        <f>+J26/H26</f>
        <v>1.2365270639202068</v>
      </c>
      <c r="M26" s="39"/>
      <c r="N26" s="39"/>
      <c r="O26" s="39"/>
      <c r="P26" s="50"/>
    </row>
    <row r="27" spans="1:16" x14ac:dyDescent="0.25">
      <c r="M27" s="39"/>
      <c r="N27" s="39"/>
    </row>
    <row r="29" spans="1:16" x14ac:dyDescent="0.25">
      <c r="A29" t="s">
        <v>28</v>
      </c>
    </row>
    <row r="73" spans="1:14" x14ac:dyDescent="0.25">
      <c r="I73" s="51"/>
      <c r="M73" s="39"/>
      <c r="N73" s="39"/>
    </row>
    <row r="74" spans="1:14" x14ac:dyDescent="0.25">
      <c r="A74" t="s">
        <v>21</v>
      </c>
      <c r="J74" s="40"/>
      <c r="L74" s="40"/>
      <c r="M74" s="39"/>
    </row>
    <row r="98" spans="1:1" x14ac:dyDescent="0.25">
      <c r="A98" t="s">
        <v>31</v>
      </c>
    </row>
    <row r="121" spans="1:1" x14ac:dyDescent="0.25">
      <c r="A121" t="s">
        <v>4</v>
      </c>
    </row>
    <row r="145" spans="1:1" x14ac:dyDescent="0.25">
      <c r="A145" t="s">
        <v>0</v>
      </c>
    </row>
    <row r="169" spans="1:1" x14ac:dyDescent="0.25">
      <c r="A169" t="s">
        <v>3</v>
      </c>
    </row>
    <row r="193" spans="1:1" x14ac:dyDescent="0.25">
      <c r="A193" t="s">
        <v>2</v>
      </c>
    </row>
    <row r="216" spans="1:1" x14ac:dyDescent="0.25">
      <c r="A216" t="s">
        <v>34</v>
      </c>
    </row>
    <row r="239" spans="1:1" x14ac:dyDescent="0.25">
      <c r="A239" t="s">
        <v>39</v>
      </c>
    </row>
  </sheetData>
  <mergeCells count="4">
    <mergeCell ref="A2:L2"/>
    <mergeCell ref="B12:G12"/>
    <mergeCell ref="I12:L12"/>
    <mergeCell ref="A13:A14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9"/>
  <sheetViews>
    <sheetView topLeftCell="A5" zoomScaleNormal="100" workbookViewId="0">
      <selection activeCell="B7" sqref="B7"/>
    </sheetView>
  </sheetViews>
  <sheetFormatPr defaultRowHeight="15" x14ac:dyDescent="0.25"/>
  <cols>
    <col min="1" max="1" width="30.140625" bestFit="1" customWidth="1"/>
    <col min="2" max="2" width="10.5703125" bestFit="1" customWidth="1"/>
    <col min="3" max="3" width="10.5703125" customWidth="1"/>
    <col min="4" max="4" width="10.5703125" bestFit="1" customWidth="1"/>
    <col min="5" max="6" width="10.5703125" customWidth="1"/>
    <col min="7" max="7" width="10.5703125" bestFit="1" customWidth="1"/>
    <col min="8" max="8" width="11.7109375" bestFit="1" customWidth="1"/>
    <col min="9" max="9" width="10.7109375" bestFit="1" customWidth="1"/>
    <col min="10" max="10" width="10.5703125" bestFit="1" customWidth="1"/>
    <col min="11" max="11" width="8.28515625" bestFit="1" customWidth="1"/>
    <col min="12" max="12" width="12.5703125" bestFit="1" customWidth="1"/>
    <col min="13" max="13" width="11.42578125" customWidth="1"/>
    <col min="14" max="14" width="9.140625" customWidth="1"/>
    <col min="15" max="15" width="11.140625" bestFit="1" customWidth="1"/>
    <col min="16" max="16" width="10.5703125" bestFit="1" customWidth="1"/>
  </cols>
  <sheetData>
    <row r="1" spans="1:18" ht="15.75" thickBot="1" x14ac:dyDescent="0.3"/>
    <row r="2" spans="1:18" ht="19.5" thickBot="1" x14ac:dyDescent="0.35">
      <c r="A2" s="79" t="s">
        <v>44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1"/>
    </row>
    <row r="3" spans="1:18" x14ac:dyDescent="0.25">
      <c r="N3" s="39"/>
      <c r="O3" s="39"/>
    </row>
    <row r="4" spans="1:18" x14ac:dyDescent="0.25">
      <c r="A4" s="20" t="s">
        <v>8</v>
      </c>
      <c r="B4" s="21">
        <v>2.8</v>
      </c>
      <c r="C4" s="3"/>
      <c r="D4" s="3"/>
      <c r="E4" s="3"/>
      <c r="F4" s="3"/>
      <c r="H4" s="2"/>
      <c r="I4" s="39"/>
      <c r="J4" s="39"/>
      <c r="K4" s="3"/>
      <c r="L4" s="3"/>
      <c r="M4" s="3"/>
      <c r="N4" s="39"/>
      <c r="O4" s="39"/>
    </row>
    <row r="5" spans="1:18" x14ac:dyDescent="0.25">
      <c r="A5" s="20" t="s">
        <v>22</v>
      </c>
      <c r="B5" s="22">
        <f>9*1024</f>
        <v>9216</v>
      </c>
      <c r="C5" s="3"/>
      <c r="D5" s="3"/>
      <c r="E5" s="3"/>
      <c r="F5" s="3"/>
      <c r="H5" s="2"/>
      <c r="I5" s="39"/>
      <c r="J5" s="39"/>
      <c r="K5" s="6"/>
      <c r="L5" s="6"/>
      <c r="M5" s="6"/>
      <c r="N5" s="39"/>
      <c r="O5" s="39"/>
    </row>
    <row r="6" spans="1:18" x14ac:dyDescent="0.25">
      <c r="A6" s="20"/>
      <c r="B6" s="22"/>
      <c r="C6" s="3"/>
      <c r="D6" s="3"/>
      <c r="E6" s="3"/>
      <c r="F6" s="3"/>
      <c r="I6" s="39"/>
      <c r="J6" s="39"/>
      <c r="K6" s="6"/>
      <c r="L6" s="6"/>
      <c r="M6" s="6"/>
      <c r="N6" s="39"/>
      <c r="O6" s="39"/>
      <c r="P6" s="2"/>
      <c r="Q6" s="4"/>
      <c r="R6" s="4"/>
    </row>
    <row r="7" spans="1:18" x14ac:dyDescent="0.25">
      <c r="A7" s="20" t="s">
        <v>23</v>
      </c>
      <c r="B7" s="22">
        <f>6510+6090</f>
        <v>12600</v>
      </c>
      <c r="C7" s="3"/>
      <c r="D7" s="3"/>
      <c r="E7" s="3"/>
      <c r="F7" s="3"/>
      <c r="G7" s="40"/>
      <c r="H7" s="2"/>
      <c r="I7" s="39"/>
      <c r="J7" s="39"/>
      <c r="K7" s="6"/>
      <c r="L7" s="6"/>
      <c r="M7" s="6"/>
      <c r="N7" s="39"/>
      <c r="O7" s="39"/>
      <c r="P7" s="5"/>
      <c r="Q7" s="4"/>
      <c r="R7" s="4"/>
    </row>
    <row r="8" spans="1:18" x14ac:dyDescent="0.25">
      <c r="A8" s="20" t="s">
        <v>24</v>
      </c>
      <c r="B8" s="22">
        <v>25200</v>
      </c>
      <c r="C8" s="3"/>
      <c r="D8" s="3"/>
      <c r="E8" s="3"/>
      <c r="F8" s="3"/>
      <c r="H8" s="2"/>
      <c r="I8" s="39"/>
      <c r="J8" s="39"/>
      <c r="K8" s="6"/>
      <c r="L8" s="6"/>
      <c r="M8" s="6"/>
      <c r="O8" s="39"/>
    </row>
    <row r="9" spans="1:18" x14ac:dyDescent="0.25">
      <c r="A9" s="20" t="s">
        <v>38</v>
      </c>
      <c r="B9" s="56"/>
      <c r="C9" s="68"/>
      <c r="D9" s="3"/>
      <c r="E9" s="3"/>
      <c r="F9" s="3"/>
      <c r="H9" s="2"/>
      <c r="I9" s="39"/>
      <c r="J9" s="39"/>
      <c r="K9" s="6"/>
      <c r="L9" s="6"/>
      <c r="M9" s="6"/>
      <c r="O9" s="39"/>
    </row>
    <row r="10" spans="1:18" x14ac:dyDescent="0.25">
      <c r="A10" s="20"/>
      <c r="B10" s="56"/>
      <c r="C10" s="68"/>
      <c r="D10" s="4"/>
      <c r="E10" s="4"/>
      <c r="F10" s="4"/>
      <c r="G10" s="4"/>
      <c r="H10" s="4"/>
      <c r="I10" s="4"/>
      <c r="J10" s="39"/>
      <c r="K10" s="4"/>
      <c r="L10" s="4"/>
      <c r="M10" s="4"/>
      <c r="O10" s="39"/>
    </row>
    <row r="11" spans="1:18" ht="15.75" thickBot="1" x14ac:dyDescent="0.3">
      <c r="A11" s="38"/>
      <c r="B11" s="38"/>
      <c r="C11" s="38"/>
      <c r="D11" s="38"/>
      <c r="E11" s="38"/>
      <c r="F11" s="38"/>
      <c r="G11" s="4"/>
      <c r="H11" s="4"/>
      <c r="I11" s="4"/>
      <c r="J11" s="4"/>
      <c r="K11" s="4"/>
      <c r="L11" s="4"/>
      <c r="M11" s="4"/>
      <c r="O11" s="39"/>
      <c r="P11" s="39"/>
      <c r="R11" s="39"/>
    </row>
    <row r="12" spans="1:18" ht="15.75" thickBot="1" x14ac:dyDescent="0.3">
      <c r="A12" s="7"/>
      <c r="B12" s="82" t="s">
        <v>10</v>
      </c>
      <c r="C12" s="90"/>
      <c r="D12" s="83"/>
      <c r="E12" s="83"/>
      <c r="F12" s="83"/>
      <c r="G12" s="83"/>
      <c r="H12" s="84"/>
      <c r="I12" s="23" t="s">
        <v>25</v>
      </c>
      <c r="J12" s="85" t="s">
        <v>11</v>
      </c>
      <c r="K12" s="86"/>
      <c r="L12" s="86"/>
      <c r="M12" s="87"/>
      <c r="O12" s="39"/>
      <c r="P12" s="39"/>
      <c r="R12" s="39"/>
    </row>
    <row r="13" spans="1:18" ht="45" x14ac:dyDescent="0.25">
      <c r="A13" s="88" t="s">
        <v>12</v>
      </c>
      <c r="B13" s="8" t="s">
        <v>32</v>
      </c>
      <c r="C13" s="69" t="s">
        <v>32</v>
      </c>
      <c r="D13" s="55" t="s">
        <v>26</v>
      </c>
      <c r="E13" s="55" t="s">
        <v>36</v>
      </c>
      <c r="F13" s="55" t="s">
        <v>41</v>
      </c>
      <c r="G13" s="55" t="s">
        <v>29</v>
      </c>
      <c r="H13" s="9" t="s">
        <v>13</v>
      </c>
      <c r="I13" s="24" t="s">
        <v>14</v>
      </c>
      <c r="J13" s="8" t="s">
        <v>15</v>
      </c>
      <c r="K13" s="55" t="s">
        <v>16</v>
      </c>
      <c r="L13" s="55" t="s">
        <v>33</v>
      </c>
      <c r="M13" s="10" t="s">
        <v>17</v>
      </c>
      <c r="O13" s="39"/>
      <c r="P13" s="39"/>
      <c r="R13" s="39"/>
    </row>
    <row r="14" spans="1:18" ht="15.75" thickBot="1" x14ac:dyDescent="0.3">
      <c r="A14" s="89"/>
      <c r="B14" s="11" t="s">
        <v>27</v>
      </c>
      <c r="C14" s="70" t="s">
        <v>27</v>
      </c>
      <c r="D14" s="12" t="s">
        <v>27</v>
      </c>
      <c r="E14" s="12" t="s">
        <v>27</v>
      </c>
      <c r="F14" s="12" t="s">
        <v>27</v>
      </c>
      <c r="G14" s="12" t="s">
        <v>6</v>
      </c>
      <c r="H14" s="13" t="s">
        <v>7</v>
      </c>
      <c r="I14" s="25" t="s">
        <v>30</v>
      </c>
      <c r="J14" s="11" t="s">
        <v>6</v>
      </c>
      <c r="K14" s="12" t="s">
        <v>18</v>
      </c>
      <c r="L14" s="12" t="s">
        <v>7</v>
      </c>
      <c r="M14" s="14" t="s">
        <v>19</v>
      </c>
      <c r="N14" s="39"/>
      <c r="O14" s="39"/>
      <c r="P14" s="39"/>
      <c r="R14" s="39"/>
    </row>
    <row r="15" spans="1:18" x14ac:dyDescent="0.25">
      <c r="A15" s="1" t="s">
        <v>0</v>
      </c>
      <c r="B15" s="26">
        <v>17</v>
      </c>
      <c r="C15" s="71">
        <v>16.8</v>
      </c>
      <c r="D15" s="27">
        <f>6.7+4.5</f>
        <v>11.2</v>
      </c>
      <c r="E15" s="27"/>
      <c r="F15" s="27">
        <v>2.9</v>
      </c>
      <c r="G15" s="16">
        <f>SUM(B15:F15)</f>
        <v>47.9</v>
      </c>
      <c r="H15" s="67">
        <f>+G15/($B$26+$C$26)</f>
        <v>4.6828104683788079E-3</v>
      </c>
      <c r="I15" s="29">
        <v>215.91</v>
      </c>
      <c r="J15" s="15">
        <v>180</v>
      </c>
      <c r="K15" s="16">
        <v>468</v>
      </c>
      <c r="L15" s="30"/>
      <c r="M15" s="17"/>
      <c r="N15" s="39"/>
      <c r="O15" s="39"/>
      <c r="P15" s="52"/>
      <c r="R15" s="39"/>
    </row>
    <row r="16" spans="1:18" x14ac:dyDescent="0.25">
      <c r="A16" s="1" t="s">
        <v>1</v>
      </c>
      <c r="B16" s="32">
        <v>242.6</v>
      </c>
      <c r="C16" s="72">
        <v>256.89999999999998</v>
      </c>
      <c r="D16" s="33">
        <f>30.6+20.5</f>
        <v>51.1</v>
      </c>
      <c r="E16" s="33">
        <f>25.8+17.2</f>
        <v>43</v>
      </c>
      <c r="F16" s="27">
        <f>34.1+0.2</f>
        <v>34.300000000000004</v>
      </c>
      <c r="G16" s="16">
        <f t="shared" ref="G16:G22" si="0">SUM(B16:F16)</f>
        <v>627.9</v>
      </c>
      <c r="H16" s="67">
        <f t="shared" ref="H16:H22" si="1">+G16/($B$26+$C$26)</f>
        <v>6.1384899647078363E-2</v>
      </c>
      <c r="I16" s="34">
        <v>1440</v>
      </c>
      <c r="J16" s="15">
        <f>+G16+$B$9*H16</f>
        <v>627.9</v>
      </c>
      <c r="K16" s="16">
        <f t="shared" ref="K16:K22" si="2">+J16*$B$4</f>
        <v>1758.12</v>
      </c>
      <c r="L16" s="30">
        <f t="shared" ref="L16" si="3">+(I16-J16)/J16</f>
        <v>1.2933588150979456</v>
      </c>
      <c r="M16" s="17">
        <f>+K16/I16</f>
        <v>1.2209166666666667</v>
      </c>
      <c r="N16" s="39"/>
      <c r="O16" s="39"/>
      <c r="P16" s="53"/>
    </row>
    <row r="17" spans="1:17" x14ac:dyDescent="0.25">
      <c r="A17" s="1" t="s">
        <v>2</v>
      </c>
      <c r="B17" s="32">
        <v>1333.7</v>
      </c>
      <c r="C17" s="72">
        <v>1482.6</v>
      </c>
      <c r="D17" s="33">
        <f>192.1+129</f>
        <v>321.10000000000002</v>
      </c>
      <c r="E17" s="33">
        <f>92.1+61.4</f>
        <v>153.5</v>
      </c>
      <c r="F17" s="27">
        <f>244.1+1.4</f>
        <v>245.5</v>
      </c>
      <c r="G17" s="16">
        <f t="shared" si="0"/>
        <v>3536.4</v>
      </c>
      <c r="H17" s="67">
        <f t="shared" si="1"/>
        <v>0.34572632443371226</v>
      </c>
      <c r="I17" s="34">
        <v>6420</v>
      </c>
      <c r="J17" s="15">
        <f>+G17+$B$9*H17</f>
        <v>3536.4</v>
      </c>
      <c r="K17" s="16">
        <f t="shared" si="2"/>
        <v>9901.92</v>
      </c>
      <c r="L17" s="30">
        <f>+(I17-J17)/J17</f>
        <v>0.81540549711571086</v>
      </c>
      <c r="M17" s="17">
        <f t="shared" ref="M17:M18" si="4">+K17/I17</f>
        <v>1.542355140186916</v>
      </c>
      <c r="N17" s="39"/>
      <c r="O17" s="39"/>
      <c r="P17" s="52"/>
    </row>
    <row r="18" spans="1:17" x14ac:dyDescent="0.25">
      <c r="A18" s="1" t="s">
        <v>3</v>
      </c>
      <c r="B18" s="32">
        <v>1168.8</v>
      </c>
      <c r="C18" s="33">
        <v>1266.3</v>
      </c>
      <c r="D18" s="33">
        <f>174+116.8</f>
        <v>290.8</v>
      </c>
      <c r="E18" s="33">
        <f>136+90.7</f>
        <v>226.7</v>
      </c>
      <c r="F18" s="27"/>
      <c r="G18" s="16">
        <f t="shared" si="0"/>
        <v>2952.6</v>
      </c>
      <c r="H18" s="67">
        <f t="shared" si="1"/>
        <v>0.28865273880866948</v>
      </c>
      <c r="I18" s="34">
        <v>6540</v>
      </c>
      <c r="J18" s="15">
        <f>+G18+$B$9*H18</f>
        <v>2952.6</v>
      </c>
      <c r="K18" s="16">
        <f t="shared" si="2"/>
        <v>8267.2799999999988</v>
      </c>
      <c r="L18" s="30">
        <f t="shared" ref="L18:L19" si="5">+(I18-J18)/J18</f>
        <v>1.2149969518390571</v>
      </c>
      <c r="M18" s="17">
        <f t="shared" si="4"/>
        <v>1.2641100917431192</v>
      </c>
      <c r="N18" s="39"/>
      <c r="O18" s="39"/>
      <c r="P18" s="52"/>
    </row>
    <row r="19" spans="1:17" x14ac:dyDescent="0.25">
      <c r="A19" s="1" t="s">
        <v>4</v>
      </c>
      <c r="B19" s="32">
        <v>271.8</v>
      </c>
      <c r="C19" s="33">
        <v>300.10000000000002</v>
      </c>
      <c r="D19" s="33">
        <f>35.5+23</f>
        <v>58.5</v>
      </c>
      <c r="E19" s="33">
        <f>13.3+8.9</f>
        <v>22.200000000000003</v>
      </c>
      <c r="F19" s="27">
        <f>49.9+0.3</f>
        <v>50.199999999999996</v>
      </c>
      <c r="G19" s="16">
        <f t="shared" si="0"/>
        <v>702.80000000000018</v>
      </c>
      <c r="H19" s="67">
        <f t="shared" si="1"/>
        <v>6.8707290128948384E-2</v>
      </c>
      <c r="I19" s="34">
        <v>1230</v>
      </c>
      <c r="J19" s="15">
        <f>+G19+$B$9*H19</f>
        <v>702.80000000000018</v>
      </c>
      <c r="K19" s="16">
        <f t="shared" si="2"/>
        <v>1967.8400000000004</v>
      </c>
      <c r="L19" s="30">
        <f t="shared" si="5"/>
        <v>0.75014228799089311</v>
      </c>
      <c r="M19" s="17">
        <f>+K19/I19</f>
        <v>1.5998699186991874</v>
      </c>
      <c r="N19" s="39"/>
      <c r="O19" s="39"/>
      <c r="P19" s="54"/>
    </row>
    <row r="20" spans="1:17" x14ac:dyDescent="0.25">
      <c r="A20" s="1" t="s">
        <v>21</v>
      </c>
      <c r="B20" s="32">
        <v>10.5</v>
      </c>
      <c r="C20" s="33">
        <v>9.5</v>
      </c>
      <c r="D20" s="33">
        <f>2.1+1.4</f>
        <v>3.5</v>
      </c>
      <c r="E20" s="33"/>
      <c r="F20" s="27">
        <v>1.1000000000000001</v>
      </c>
      <c r="G20" s="16">
        <f t="shared" si="0"/>
        <v>24.6</v>
      </c>
      <c r="H20" s="67">
        <f t="shared" si="1"/>
        <v>2.4049506789586366E-3</v>
      </c>
      <c r="I20" s="34">
        <v>130.85</v>
      </c>
      <c r="J20" s="15">
        <v>100</v>
      </c>
      <c r="K20" s="16">
        <f t="shared" si="2"/>
        <v>280</v>
      </c>
      <c r="L20" s="30"/>
      <c r="M20" s="17"/>
      <c r="N20" s="39"/>
      <c r="O20" s="39"/>
      <c r="P20" s="52"/>
    </row>
    <row r="21" spans="1:17" x14ac:dyDescent="0.25">
      <c r="A21" s="31" t="s">
        <v>35</v>
      </c>
      <c r="B21" s="32">
        <v>715.2</v>
      </c>
      <c r="C21" s="33">
        <v>784.8</v>
      </c>
      <c r="D21" s="33">
        <f>112.8+75.7</f>
        <v>188.5</v>
      </c>
      <c r="E21" s="33">
        <f>82.3+54.8</f>
        <v>137.1</v>
      </c>
      <c r="F21" s="27">
        <f>140.5+0.8</f>
        <v>141.30000000000001</v>
      </c>
      <c r="G21" s="16">
        <f t="shared" si="0"/>
        <v>1966.8999999999999</v>
      </c>
      <c r="H21" s="67">
        <f t="shared" si="1"/>
        <v>0.19228851587169682</v>
      </c>
      <c r="I21" s="34">
        <v>3950</v>
      </c>
      <c r="J21" s="15">
        <f>+G21+$B$9*H21</f>
        <v>1966.8999999999999</v>
      </c>
      <c r="K21" s="16">
        <f t="shared" si="2"/>
        <v>5507.32</v>
      </c>
      <c r="L21" s="30">
        <f t="shared" ref="L21:L22" si="6">+(I21-J21)/J21</f>
        <v>1.0082363109461592</v>
      </c>
      <c r="M21" s="17">
        <f t="shared" ref="M21:M22" si="7">+K21/I21</f>
        <v>1.3942582278481013</v>
      </c>
      <c r="N21" s="39"/>
      <c r="O21" s="39"/>
      <c r="P21" s="54"/>
    </row>
    <row r="22" spans="1:17" x14ac:dyDescent="0.25">
      <c r="A22" s="31" t="s">
        <v>39</v>
      </c>
      <c r="B22" s="32">
        <v>106</v>
      </c>
      <c r="C22" s="33">
        <v>114.6</v>
      </c>
      <c r="D22" s="33">
        <f>36.3+24.4</f>
        <v>60.699999999999996</v>
      </c>
      <c r="E22" s="33">
        <f>25.7+17.1</f>
        <v>42.8</v>
      </c>
      <c r="F22" s="27">
        <f>45+0.3</f>
        <v>45.3</v>
      </c>
      <c r="G22" s="16">
        <f t="shared" si="0"/>
        <v>369.40000000000003</v>
      </c>
      <c r="H22" s="67">
        <f t="shared" si="1"/>
        <v>3.6113365073468309E-2</v>
      </c>
      <c r="I22" s="34">
        <v>1140</v>
      </c>
      <c r="J22" s="15">
        <f>+G22+$B$9*H22</f>
        <v>369.40000000000003</v>
      </c>
      <c r="K22" s="16">
        <f t="shared" si="2"/>
        <v>1034.32</v>
      </c>
      <c r="L22" s="30">
        <f t="shared" si="6"/>
        <v>2.0860855441256088</v>
      </c>
      <c r="M22" s="17">
        <f t="shared" si="7"/>
        <v>0.90729824561403505</v>
      </c>
      <c r="N22" s="39"/>
      <c r="O22" s="39"/>
      <c r="P22" s="54"/>
    </row>
    <row r="23" spans="1:17" x14ac:dyDescent="0.25">
      <c r="A23" s="31" t="s">
        <v>5</v>
      </c>
      <c r="B23" s="32">
        <v>589.9</v>
      </c>
      <c r="C23" s="33">
        <v>396</v>
      </c>
      <c r="D23" s="33"/>
      <c r="E23" s="33"/>
      <c r="F23" s="27"/>
      <c r="G23" s="16"/>
      <c r="H23" s="28"/>
      <c r="I23" s="34"/>
      <c r="J23" s="15"/>
      <c r="K23" s="16"/>
      <c r="L23" s="57"/>
      <c r="M23" s="58"/>
      <c r="N23" s="39"/>
      <c r="O23" s="39"/>
      <c r="P23" s="54"/>
    </row>
    <row r="24" spans="1:17" x14ac:dyDescent="0.25">
      <c r="A24" s="19" t="s">
        <v>37</v>
      </c>
      <c r="B24" s="41">
        <v>375.2</v>
      </c>
      <c r="C24" s="33">
        <v>250.1</v>
      </c>
      <c r="D24" s="33"/>
      <c r="E24" s="33"/>
      <c r="F24" s="33"/>
      <c r="G24" s="18"/>
      <c r="H24" s="65"/>
      <c r="I24" s="34"/>
      <c r="J24" s="66"/>
      <c r="K24" s="18"/>
      <c r="L24" s="61"/>
      <c r="M24" s="62"/>
      <c r="N24" s="39"/>
      <c r="O24" s="39"/>
      <c r="P24" s="39"/>
    </row>
    <row r="25" spans="1:17" ht="15.75" thickBot="1" x14ac:dyDescent="0.3">
      <c r="A25" s="19" t="s">
        <v>40</v>
      </c>
      <c r="B25" s="41">
        <v>517.6</v>
      </c>
      <c r="C25" s="73">
        <v>2.9</v>
      </c>
      <c r="D25" s="63"/>
      <c r="E25" s="63"/>
      <c r="F25" s="63"/>
      <c r="G25" s="44"/>
      <c r="H25" s="42"/>
      <c r="I25" s="64"/>
      <c r="J25" s="43"/>
      <c r="K25" s="44"/>
      <c r="L25" s="59"/>
      <c r="M25" s="60"/>
      <c r="N25" s="39"/>
      <c r="O25" s="39"/>
      <c r="P25" s="39"/>
    </row>
    <row r="26" spans="1:17" s="37" customFormat="1" ht="15.75" thickBot="1" x14ac:dyDescent="0.3">
      <c r="A26" s="35" t="s">
        <v>20</v>
      </c>
      <c r="B26" s="45">
        <f>SUM(B15:B25)</f>
        <v>5348.3</v>
      </c>
      <c r="C26" s="46">
        <f t="shared" ref="C26:F26" si="8">SUM(C15:C25)</f>
        <v>4880.6000000000004</v>
      </c>
      <c r="D26" s="46">
        <f t="shared" si="8"/>
        <v>985.40000000000009</v>
      </c>
      <c r="E26" s="46">
        <f t="shared" si="8"/>
        <v>625.29999999999995</v>
      </c>
      <c r="F26" s="46">
        <f t="shared" si="8"/>
        <v>520.6</v>
      </c>
      <c r="G26" s="46">
        <f>SUM(G15:G25)</f>
        <v>10228.5</v>
      </c>
      <c r="H26" s="47">
        <f>SUM(H15:H25)</f>
        <v>0.99996089511091102</v>
      </c>
      <c r="I26" s="36">
        <f t="shared" ref="I26" si="9">SUM(I15:I25)</f>
        <v>21066.760000000002</v>
      </c>
      <c r="J26" s="46">
        <f>SUM(J15:J25)</f>
        <v>10436</v>
      </c>
      <c r="K26" s="46">
        <f>SUM(K15:K25)</f>
        <v>29184.799999999999</v>
      </c>
      <c r="L26" s="48">
        <f>+(I26-J26)/J26</f>
        <v>1.0186623227290152</v>
      </c>
      <c r="M26" s="49">
        <f>+K26/I26</f>
        <v>1.3853482927607281</v>
      </c>
      <c r="N26" s="39"/>
      <c r="O26" s="39"/>
      <c r="P26" s="39"/>
      <c r="Q26" s="50"/>
    </row>
    <row r="27" spans="1:17" x14ac:dyDescent="0.25">
      <c r="N27" s="39"/>
      <c r="O27" s="39"/>
    </row>
    <row r="29" spans="1:17" x14ac:dyDescent="0.25">
      <c r="A29" t="s">
        <v>28</v>
      </c>
    </row>
    <row r="73" spans="1:15" x14ac:dyDescent="0.25">
      <c r="J73" s="51"/>
      <c r="N73" s="39"/>
      <c r="O73" s="39"/>
    </row>
    <row r="74" spans="1:15" x14ac:dyDescent="0.25">
      <c r="A74" t="s">
        <v>21</v>
      </c>
      <c r="K74" s="40"/>
      <c r="M74" s="40"/>
      <c r="N74" s="39"/>
    </row>
    <row r="98" spans="1:1" x14ac:dyDescent="0.25">
      <c r="A98" t="s">
        <v>31</v>
      </c>
    </row>
    <row r="121" spans="1:1" x14ac:dyDescent="0.25">
      <c r="A121" t="s">
        <v>4</v>
      </c>
    </row>
    <row r="145" spans="1:1" x14ac:dyDescent="0.25">
      <c r="A145" t="s">
        <v>0</v>
      </c>
    </row>
    <row r="169" spans="1:1" x14ac:dyDescent="0.25">
      <c r="A169" t="s">
        <v>3</v>
      </c>
    </row>
    <row r="193" spans="1:1" x14ac:dyDescent="0.25">
      <c r="A193" t="s">
        <v>2</v>
      </c>
    </row>
    <row r="216" spans="1:1" x14ac:dyDescent="0.25">
      <c r="A216" t="s">
        <v>34</v>
      </c>
    </row>
    <row r="239" spans="1:1" x14ac:dyDescent="0.25">
      <c r="A239" t="s">
        <v>39</v>
      </c>
    </row>
  </sheetData>
  <mergeCells count="4">
    <mergeCell ref="A2:M2"/>
    <mergeCell ref="B12:H12"/>
    <mergeCell ref="J12:M12"/>
    <mergeCell ref="A13:A14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9"/>
  <sheetViews>
    <sheetView topLeftCell="A13" zoomScaleNormal="100" workbookViewId="0">
      <selection activeCell="O16" sqref="O16"/>
    </sheetView>
  </sheetViews>
  <sheetFormatPr defaultRowHeight="15" x14ac:dyDescent="0.25"/>
  <cols>
    <col min="1" max="1" width="30.140625" bestFit="1" customWidth="1"/>
    <col min="2" max="2" width="10.5703125" bestFit="1" customWidth="1"/>
    <col min="3" max="3" width="10.5703125" customWidth="1"/>
    <col min="4" max="4" width="10.5703125" bestFit="1" customWidth="1"/>
    <col min="5" max="6" width="10.5703125" customWidth="1"/>
    <col min="7" max="7" width="10.5703125" bestFit="1" customWidth="1"/>
    <col min="8" max="8" width="11.7109375" bestFit="1" customWidth="1"/>
    <col min="9" max="9" width="10.7109375" bestFit="1" customWidth="1"/>
    <col min="10" max="10" width="10.5703125" bestFit="1" customWidth="1"/>
    <col min="11" max="11" width="8.28515625" bestFit="1" customWidth="1"/>
    <col min="12" max="12" width="12.5703125" bestFit="1" customWidth="1"/>
    <col min="13" max="13" width="11.42578125" customWidth="1"/>
    <col min="14" max="14" width="9.140625" customWidth="1"/>
    <col min="15" max="15" width="11.140625" bestFit="1" customWidth="1"/>
    <col min="16" max="16" width="10.5703125" bestFit="1" customWidth="1"/>
  </cols>
  <sheetData>
    <row r="1" spans="1:18" ht="15.75" thickBot="1" x14ac:dyDescent="0.3"/>
    <row r="2" spans="1:18" ht="19.5" thickBot="1" x14ac:dyDescent="0.35">
      <c r="A2" s="79" t="s">
        <v>45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1"/>
    </row>
    <row r="3" spans="1:18" x14ac:dyDescent="0.25">
      <c r="N3" s="39"/>
      <c r="O3" s="39"/>
    </row>
    <row r="4" spans="1:18" x14ac:dyDescent="0.25">
      <c r="A4" s="20" t="s">
        <v>8</v>
      </c>
      <c r="B4" s="21">
        <v>2.8</v>
      </c>
      <c r="C4" s="3"/>
      <c r="D4" s="3"/>
      <c r="E4" s="3"/>
      <c r="F4" s="3"/>
      <c r="H4" s="2"/>
      <c r="I4" s="39"/>
      <c r="J4" s="39"/>
      <c r="K4" s="3"/>
      <c r="L4" s="3"/>
      <c r="M4" s="3"/>
      <c r="N4" s="39"/>
      <c r="O4" s="39"/>
    </row>
    <row r="5" spans="1:18" x14ac:dyDescent="0.25">
      <c r="A5" s="20" t="s">
        <v>22</v>
      </c>
      <c r="B5" s="22">
        <f>12*1024</f>
        <v>12288</v>
      </c>
      <c r="C5" s="3"/>
      <c r="D5" s="3"/>
      <c r="E5" s="3"/>
      <c r="F5" s="3"/>
      <c r="H5" s="2"/>
      <c r="I5" s="39"/>
      <c r="J5" s="39"/>
      <c r="K5" s="6"/>
      <c r="L5" s="6"/>
      <c r="M5" s="6"/>
      <c r="N5" s="39"/>
      <c r="O5" s="39"/>
    </row>
    <row r="6" spans="1:18" x14ac:dyDescent="0.25">
      <c r="A6" s="20"/>
      <c r="B6" s="22"/>
      <c r="C6" s="3"/>
      <c r="D6" s="3"/>
      <c r="E6" s="3"/>
      <c r="F6" s="3"/>
      <c r="I6" s="39"/>
      <c r="J6" s="39"/>
      <c r="K6" s="6"/>
      <c r="L6" s="6"/>
      <c r="M6" s="6"/>
      <c r="N6" s="39"/>
      <c r="O6" s="39"/>
      <c r="P6" s="2"/>
      <c r="Q6" s="4"/>
      <c r="R6" s="4"/>
    </row>
    <row r="7" spans="1:18" x14ac:dyDescent="0.25">
      <c r="A7" s="20" t="s">
        <v>23</v>
      </c>
      <c r="B7" s="22">
        <f>7000+7150</f>
        <v>14150</v>
      </c>
      <c r="C7" s="3"/>
      <c r="D7" s="3"/>
      <c r="E7" s="3"/>
      <c r="F7" s="3"/>
      <c r="G7" s="40"/>
      <c r="H7" s="2"/>
      <c r="I7" s="39"/>
      <c r="J7" s="39"/>
      <c r="K7" s="6"/>
      <c r="L7" s="6"/>
      <c r="M7" s="6"/>
      <c r="N7" s="39"/>
      <c r="O7" s="39"/>
      <c r="P7" s="5"/>
      <c r="Q7" s="4"/>
      <c r="R7" s="4"/>
    </row>
    <row r="8" spans="1:18" x14ac:dyDescent="0.25">
      <c r="A8" s="20" t="s">
        <v>24</v>
      </c>
      <c r="B8" s="22">
        <v>25200</v>
      </c>
      <c r="C8" s="3"/>
      <c r="D8" s="3"/>
      <c r="E8" s="3"/>
      <c r="F8" s="3"/>
      <c r="H8" s="2"/>
      <c r="I8" s="39"/>
      <c r="J8" s="39"/>
      <c r="K8" s="6"/>
      <c r="L8" s="6"/>
      <c r="M8" s="6"/>
      <c r="O8" s="39"/>
    </row>
    <row r="9" spans="1:18" x14ac:dyDescent="0.25">
      <c r="A9" s="20" t="s">
        <v>38</v>
      </c>
      <c r="B9" s="56"/>
      <c r="C9" s="68"/>
      <c r="D9" s="3"/>
      <c r="E9" s="3"/>
      <c r="F9" s="3"/>
      <c r="H9" s="2"/>
      <c r="I9" s="39"/>
      <c r="J9" s="39"/>
      <c r="K9" s="6"/>
      <c r="L9" s="6"/>
      <c r="M9" s="6"/>
      <c r="O9" s="39"/>
    </row>
    <row r="10" spans="1:18" x14ac:dyDescent="0.25">
      <c r="A10" s="20"/>
      <c r="B10" s="56"/>
      <c r="C10" s="68"/>
      <c r="D10" s="4"/>
      <c r="E10" s="4"/>
      <c r="F10" s="4"/>
      <c r="G10" s="4"/>
      <c r="H10" s="4"/>
      <c r="I10" s="4"/>
      <c r="J10" s="39"/>
      <c r="K10" s="4"/>
      <c r="L10" s="4"/>
      <c r="M10" s="4"/>
      <c r="O10" s="39"/>
    </row>
    <row r="11" spans="1:18" ht="15.75" thickBot="1" x14ac:dyDescent="0.3">
      <c r="A11" s="38"/>
      <c r="B11" s="38"/>
      <c r="C11" s="38"/>
      <c r="D11" s="38"/>
      <c r="E11" s="38"/>
      <c r="F11" s="38"/>
      <c r="G11" s="4"/>
      <c r="H11" s="4"/>
      <c r="I11" s="4"/>
      <c r="J11" s="4"/>
      <c r="K11" s="4"/>
      <c r="L11" s="4"/>
      <c r="M11" s="4"/>
      <c r="O11" s="39"/>
      <c r="P11" s="39"/>
      <c r="R11" s="39"/>
    </row>
    <row r="12" spans="1:18" ht="15.75" thickBot="1" x14ac:dyDescent="0.3">
      <c r="A12" s="7"/>
      <c r="B12" s="82" t="s">
        <v>10</v>
      </c>
      <c r="C12" s="90"/>
      <c r="D12" s="83"/>
      <c r="E12" s="83"/>
      <c r="F12" s="83"/>
      <c r="G12" s="83"/>
      <c r="H12" s="84"/>
      <c r="I12" s="23" t="s">
        <v>25</v>
      </c>
      <c r="J12" s="85" t="s">
        <v>11</v>
      </c>
      <c r="K12" s="86"/>
      <c r="L12" s="86"/>
      <c r="M12" s="87"/>
      <c r="O12" s="39"/>
      <c r="P12" s="39"/>
      <c r="R12" s="39"/>
    </row>
    <row r="13" spans="1:18" ht="45" x14ac:dyDescent="0.25">
      <c r="A13" s="88" t="s">
        <v>12</v>
      </c>
      <c r="B13" s="8" t="s">
        <v>32</v>
      </c>
      <c r="C13" s="69" t="s">
        <v>32</v>
      </c>
      <c r="D13" s="55" t="s">
        <v>26</v>
      </c>
      <c r="E13" s="55" t="s">
        <v>36</v>
      </c>
      <c r="F13" s="55" t="s">
        <v>41</v>
      </c>
      <c r="G13" s="55" t="s">
        <v>29</v>
      </c>
      <c r="H13" s="9" t="s">
        <v>13</v>
      </c>
      <c r="I13" s="24" t="s">
        <v>14</v>
      </c>
      <c r="J13" s="8" t="s">
        <v>15</v>
      </c>
      <c r="K13" s="55" t="s">
        <v>16</v>
      </c>
      <c r="L13" s="55" t="s">
        <v>33</v>
      </c>
      <c r="M13" s="10" t="s">
        <v>17</v>
      </c>
      <c r="O13" s="39"/>
      <c r="P13" s="39"/>
      <c r="R13" s="39"/>
    </row>
    <row r="14" spans="1:18" ht="15.75" thickBot="1" x14ac:dyDescent="0.3">
      <c r="A14" s="89"/>
      <c r="B14" s="11" t="s">
        <v>27</v>
      </c>
      <c r="C14" s="70" t="s">
        <v>27</v>
      </c>
      <c r="D14" s="12" t="s">
        <v>27</v>
      </c>
      <c r="E14" s="12" t="s">
        <v>27</v>
      </c>
      <c r="F14" s="12" t="s">
        <v>27</v>
      </c>
      <c r="G14" s="12" t="s">
        <v>6</v>
      </c>
      <c r="H14" s="13" t="s">
        <v>7</v>
      </c>
      <c r="I14" s="25" t="s">
        <v>30</v>
      </c>
      <c r="J14" s="11" t="s">
        <v>6</v>
      </c>
      <c r="K14" s="12" t="s">
        <v>18</v>
      </c>
      <c r="L14" s="12" t="s">
        <v>7</v>
      </c>
      <c r="M14" s="14" t="s">
        <v>19</v>
      </c>
      <c r="N14" s="39"/>
      <c r="O14" s="39"/>
      <c r="P14" s="39"/>
      <c r="R14" s="39"/>
    </row>
    <row r="15" spans="1:18" x14ac:dyDescent="0.25">
      <c r="A15" s="1" t="s">
        <v>0</v>
      </c>
      <c r="B15" s="26">
        <v>20.3</v>
      </c>
      <c r="C15" s="71">
        <v>22.4</v>
      </c>
      <c r="D15" s="27">
        <f>6.3+5.1</f>
        <v>11.399999999999999</v>
      </c>
      <c r="E15" s="27"/>
      <c r="F15" s="27">
        <v>8</v>
      </c>
      <c r="G15" s="16">
        <f>SUM(B15:F15)</f>
        <v>62.1</v>
      </c>
      <c r="H15" s="67">
        <f>+G15/($B$26+$C$26)</f>
        <v>6.7134409357736688E-3</v>
      </c>
      <c r="I15" s="29">
        <v>239.9</v>
      </c>
      <c r="J15" s="15">
        <v>180</v>
      </c>
      <c r="K15" s="16">
        <v>468</v>
      </c>
      <c r="L15" s="30"/>
      <c r="M15" s="17"/>
      <c r="N15" s="39"/>
      <c r="O15" s="39"/>
      <c r="P15" s="52"/>
      <c r="R15" s="39"/>
    </row>
    <row r="16" spans="1:18" x14ac:dyDescent="0.25">
      <c r="A16" s="1" t="s">
        <v>1</v>
      </c>
      <c r="B16" s="32">
        <v>205.6</v>
      </c>
      <c r="C16" s="72">
        <v>215.9</v>
      </c>
      <c r="D16" s="33">
        <f>25.2+20.6</f>
        <v>45.8</v>
      </c>
      <c r="E16" s="33">
        <v>29.7</v>
      </c>
      <c r="F16" s="27">
        <v>46</v>
      </c>
      <c r="G16" s="16">
        <f t="shared" ref="G16:G22" si="0">SUM(B16:F16)</f>
        <v>543</v>
      </c>
      <c r="H16" s="67">
        <f t="shared" ref="H16:H22" si="1">+G16/($B$26+$C$26)</f>
        <v>5.8702068085750431E-2</v>
      </c>
      <c r="I16" s="34">
        <v>1330</v>
      </c>
      <c r="J16" s="15">
        <f>+G16+$B$9*H16</f>
        <v>543</v>
      </c>
      <c r="K16" s="16">
        <f t="shared" ref="K16:K22" si="2">+J16*$B$4</f>
        <v>1520.3999999999999</v>
      </c>
      <c r="L16" s="30">
        <f t="shared" ref="L16" si="3">+(I16-J16)/J16</f>
        <v>1.4493554327808471</v>
      </c>
      <c r="M16" s="17">
        <f>+K16/I16</f>
        <v>1.1431578947368419</v>
      </c>
      <c r="N16" s="39"/>
      <c r="O16" s="39"/>
      <c r="P16" s="53"/>
    </row>
    <row r="17" spans="1:17" x14ac:dyDescent="0.25">
      <c r="A17" s="1" t="s">
        <v>2</v>
      </c>
      <c r="B17" s="32">
        <v>1226.7</v>
      </c>
      <c r="C17" s="72">
        <v>1262.5999999999999</v>
      </c>
      <c r="D17" s="33">
        <f>157.2+128.5</f>
        <v>285.7</v>
      </c>
      <c r="E17" s="33">
        <v>109.6</v>
      </c>
      <c r="F17" s="27">
        <v>297.39999999999998</v>
      </c>
      <c r="G17" s="16">
        <f t="shared" si="0"/>
        <v>3182</v>
      </c>
      <c r="H17" s="67">
        <f t="shared" si="1"/>
        <v>0.34399628112128522</v>
      </c>
      <c r="I17" s="34">
        <v>6600</v>
      </c>
      <c r="J17" s="15">
        <f>+G17+$B$9*H17</f>
        <v>3182</v>
      </c>
      <c r="K17" s="16">
        <f t="shared" si="2"/>
        <v>8909.5999999999985</v>
      </c>
      <c r="L17" s="30">
        <f>+(I17-J17)/J17</f>
        <v>1.0741671904462602</v>
      </c>
      <c r="M17" s="17">
        <f t="shared" ref="M17:M18" si="4">+K17/I17</f>
        <v>1.3499393939393938</v>
      </c>
      <c r="N17" s="39"/>
      <c r="O17" s="39"/>
      <c r="P17" s="52"/>
    </row>
    <row r="18" spans="1:17" x14ac:dyDescent="0.25">
      <c r="A18" s="1" t="s">
        <v>3</v>
      </c>
      <c r="B18" s="32">
        <v>1284.5999999999999</v>
      </c>
      <c r="C18" s="33">
        <v>1441.4</v>
      </c>
      <c r="D18" s="33">
        <f>140+114.5</f>
        <v>254.5</v>
      </c>
      <c r="E18" s="33">
        <v>158.19999999999999</v>
      </c>
      <c r="F18" s="27"/>
      <c r="G18" s="16">
        <f t="shared" si="0"/>
        <v>3138.7</v>
      </c>
      <c r="H18" s="67">
        <f t="shared" si="1"/>
        <v>0.33931525064593898</v>
      </c>
      <c r="I18" s="34">
        <v>6520</v>
      </c>
      <c r="J18" s="15">
        <f>+G18+$B$9*H18</f>
        <v>3138.7</v>
      </c>
      <c r="K18" s="16">
        <f t="shared" si="2"/>
        <v>8788.3599999999988</v>
      </c>
      <c r="L18" s="30">
        <f t="shared" ref="L18:L19" si="5">+(I18-J18)/J18</f>
        <v>1.077293146844235</v>
      </c>
      <c r="M18" s="17">
        <f t="shared" si="4"/>
        <v>1.3479079754601224</v>
      </c>
      <c r="N18" s="39"/>
      <c r="O18" s="39"/>
      <c r="P18" s="52"/>
    </row>
    <row r="19" spans="1:17" x14ac:dyDescent="0.25">
      <c r="A19" s="1" t="s">
        <v>4</v>
      </c>
      <c r="B19" s="32">
        <v>242</v>
      </c>
      <c r="C19" s="33">
        <v>260.60000000000002</v>
      </c>
      <c r="D19" s="33">
        <f>28.7+23.4</f>
        <v>52.099999999999994</v>
      </c>
      <c r="E19" s="33">
        <v>15.7</v>
      </c>
      <c r="F19" s="27">
        <v>60.3</v>
      </c>
      <c r="G19" s="16">
        <f t="shared" si="0"/>
        <v>630.70000000000005</v>
      </c>
      <c r="H19" s="67">
        <f t="shared" si="1"/>
        <v>6.8183046669765754E-2</v>
      </c>
      <c r="I19" s="34">
        <v>1290</v>
      </c>
      <c r="J19" s="15">
        <f>+G19+$B$9*H19</f>
        <v>630.70000000000005</v>
      </c>
      <c r="K19" s="16">
        <f t="shared" si="2"/>
        <v>1765.96</v>
      </c>
      <c r="L19" s="30">
        <f t="shared" si="5"/>
        <v>1.0453464404629775</v>
      </c>
      <c r="M19" s="17">
        <f>+K19/I19</f>
        <v>1.3689612403100775</v>
      </c>
      <c r="N19" s="39"/>
      <c r="O19" s="39"/>
      <c r="P19" s="54"/>
    </row>
    <row r="20" spans="1:17" x14ac:dyDescent="0.25">
      <c r="A20" s="1" t="s">
        <v>21</v>
      </c>
      <c r="B20" s="32">
        <v>10.3</v>
      </c>
      <c r="C20" s="33">
        <v>10</v>
      </c>
      <c r="D20" s="33">
        <f>2+1.6</f>
        <v>3.6</v>
      </c>
      <c r="E20" s="33"/>
      <c r="F20" s="27">
        <v>3.5</v>
      </c>
      <c r="G20" s="16">
        <f t="shared" si="0"/>
        <v>27.400000000000002</v>
      </c>
      <c r="H20" s="67">
        <f t="shared" si="1"/>
        <v>2.9621301391336316E-3</v>
      </c>
      <c r="I20" s="34">
        <v>138.35</v>
      </c>
      <c r="J20" s="15">
        <v>100</v>
      </c>
      <c r="K20" s="16">
        <f t="shared" si="2"/>
        <v>280</v>
      </c>
      <c r="L20" s="30"/>
      <c r="M20" s="17"/>
      <c r="N20" s="39"/>
      <c r="O20" s="39"/>
      <c r="P20" s="52"/>
    </row>
    <row r="21" spans="1:17" x14ac:dyDescent="0.25">
      <c r="A21" s="31" t="s">
        <v>35</v>
      </c>
      <c r="B21" s="32">
        <v>422.9</v>
      </c>
      <c r="C21" s="33">
        <v>420</v>
      </c>
      <c r="D21" s="33">
        <f>67.6+55.3</f>
        <v>122.89999999999999</v>
      </c>
      <c r="E21" s="33">
        <v>70.099999999999994</v>
      </c>
      <c r="F21" s="27">
        <v>123.9</v>
      </c>
      <c r="G21" s="16">
        <f t="shared" si="0"/>
        <v>1159.8</v>
      </c>
      <c r="H21" s="67">
        <f>+G21/($B$26+$C$26)</f>
        <v>0.12538242829807247</v>
      </c>
      <c r="I21" s="34">
        <v>2900</v>
      </c>
      <c r="J21" s="15">
        <f>+G21+$B$9*H21</f>
        <v>1159.8</v>
      </c>
      <c r="K21" s="16">
        <f t="shared" si="2"/>
        <v>3247.4399999999996</v>
      </c>
      <c r="L21" s="30">
        <f t="shared" ref="L21:L22" si="6">+(I21-J21)/J21</f>
        <v>1.5004311088118643</v>
      </c>
      <c r="M21" s="17">
        <f t="shared" ref="M21:M22" si="7">+K21/I21</f>
        <v>1.1198068965517241</v>
      </c>
      <c r="N21" s="39"/>
      <c r="O21" s="39"/>
      <c r="P21" s="54"/>
    </row>
    <row r="22" spans="1:17" x14ac:dyDescent="0.25">
      <c r="A22" s="31" t="s">
        <v>39</v>
      </c>
      <c r="B22" s="32">
        <v>161.80000000000001</v>
      </c>
      <c r="C22" s="33">
        <v>182</v>
      </c>
      <c r="D22" s="33">
        <f>35.8+29.2</f>
        <v>65</v>
      </c>
      <c r="E22" s="33">
        <v>36.200000000000003</v>
      </c>
      <c r="F22" s="27">
        <v>61.7</v>
      </c>
      <c r="G22" s="16">
        <f t="shared" si="0"/>
        <v>506.7</v>
      </c>
      <c r="H22" s="67">
        <f t="shared" si="1"/>
        <v>5.4777786186095294E-2</v>
      </c>
      <c r="I22" s="34">
        <v>1410</v>
      </c>
      <c r="J22" s="15">
        <f>+G22+$B$9*H22</f>
        <v>506.7</v>
      </c>
      <c r="K22" s="16">
        <f t="shared" si="2"/>
        <v>1418.76</v>
      </c>
      <c r="L22" s="30">
        <f t="shared" si="6"/>
        <v>1.7827116637063352</v>
      </c>
      <c r="M22" s="17">
        <f t="shared" si="7"/>
        <v>1.0062127659574469</v>
      </c>
      <c r="N22" s="39"/>
      <c r="O22" s="39"/>
      <c r="P22" s="54"/>
    </row>
    <row r="23" spans="1:17" x14ac:dyDescent="0.25">
      <c r="A23" s="31" t="s">
        <v>5</v>
      </c>
      <c r="B23" s="32">
        <v>378.1</v>
      </c>
      <c r="C23" s="33">
        <v>462.5</v>
      </c>
      <c r="D23" s="33"/>
      <c r="E23" s="33"/>
      <c r="F23" s="27"/>
      <c r="G23" s="16"/>
      <c r="H23" s="28"/>
      <c r="I23" s="34"/>
      <c r="J23" s="15"/>
      <c r="K23" s="16"/>
      <c r="L23" s="57"/>
      <c r="M23" s="58"/>
      <c r="N23" s="39"/>
      <c r="O23" s="39"/>
      <c r="P23" s="54"/>
    </row>
    <row r="24" spans="1:17" x14ac:dyDescent="0.25">
      <c r="A24" s="19" t="s">
        <v>37</v>
      </c>
      <c r="B24" s="41">
        <v>419.5</v>
      </c>
      <c r="C24" s="33"/>
      <c r="D24" s="33"/>
      <c r="E24" s="33"/>
      <c r="F24" s="33"/>
      <c r="G24" s="18"/>
      <c r="H24" s="65"/>
      <c r="I24" s="34"/>
      <c r="J24" s="66"/>
      <c r="K24" s="18"/>
      <c r="L24" s="61"/>
      <c r="M24" s="62"/>
      <c r="N24" s="39"/>
      <c r="O24" s="39"/>
      <c r="P24" s="39"/>
    </row>
    <row r="25" spans="1:17" ht="15.75" thickBot="1" x14ac:dyDescent="0.3">
      <c r="A25" s="19" t="s">
        <v>40</v>
      </c>
      <c r="B25" s="41">
        <v>600.9</v>
      </c>
      <c r="C25" s="73"/>
      <c r="D25" s="63"/>
      <c r="E25" s="63"/>
      <c r="F25" s="63"/>
      <c r="G25" s="44"/>
      <c r="H25" s="42"/>
      <c r="I25" s="64"/>
      <c r="J25" s="43"/>
      <c r="K25" s="44"/>
      <c r="L25" s="59"/>
      <c r="M25" s="60"/>
      <c r="N25" s="39"/>
      <c r="O25" s="39"/>
      <c r="P25" s="39"/>
    </row>
    <row r="26" spans="1:17" s="37" customFormat="1" ht="15.75" thickBot="1" x14ac:dyDescent="0.3">
      <c r="A26" s="35" t="s">
        <v>20</v>
      </c>
      <c r="B26" s="45">
        <f>SUM(B15:B25)</f>
        <v>4972.7</v>
      </c>
      <c r="C26" s="46">
        <f t="shared" ref="C26:E26" si="8">SUM(C15:C25)</f>
        <v>4277.3999999999996</v>
      </c>
      <c r="D26" s="46">
        <f t="shared" si="8"/>
        <v>841</v>
      </c>
      <c r="E26" s="46">
        <f t="shared" si="8"/>
        <v>419.49999999999994</v>
      </c>
      <c r="F26" s="46">
        <f>SUM(F15:F25)</f>
        <v>600.80000000000007</v>
      </c>
      <c r="G26" s="46">
        <f>SUM(G15:G25)</f>
        <v>9250.4</v>
      </c>
      <c r="H26" s="47">
        <f>SUM(H15:H25)</f>
        <v>1.0000324320818152</v>
      </c>
      <c r="I26" s="36">
        <f t="shared" ref="I26" si="9">SUM(I15:I25)</f>
        <v>20428.25</v>
      </c>
      <c r="J26" s="46">
        <f>SUM(J15:J25)</f>
        <v>9440.9</v>
      </c>
      <c r="K26" s="46">
        <f>SUM(K15:K25)</f>
        <v>26398.519999999993</v>
      </c>
      <c r="L26" s="48">
        <f>+(I26-J26)/J26</f>
        <v>1.1638032390979673</v>
      </c>
      <c r="M26" s="49">
        <f>+K26/I26</f>
        <v>1.2922555774478965</v>
      </c>
      <c r="N26" s="39"/>
      <c r="O26" s="39"/>
      <c r="P26" s="39"/>
      <c r="Q26" s="50"/>
    </row>
    <row r="27" spans="1:17" x14ac:dyDescent="0.25">
      <c r="N27" s="39"/>
      <c r="O27" s="39"/>
    </row>
    <row r="29" spans="1:17" x14ac:dyDescent="0.25">
      <c r="A29" t="s">
        <v>28</v>
      </c>
    </row>
    <row r="73" spans="1:15" x14ac:dyDescent="0.25">
      <c r="J73" s="51"/>
      <c r="N73" s="39"/>
      <c r="O73" s="39"/>
    </row>
    <row r="74" spans="1:15" x14ac:dyDescent="0.25">
      <c r="A74" t="s">
        <v>21</v>
      </c>
      <c r="K74" s="40"/>
      <c r="M74" s="40"/>
      <c r="N74" s="39"/>
    </row>
    <row r="98" spans="1:1" x14ac:dyDescent="0.25">
      <c r="A98" t="s">
        <v>31</v>
      </c>
    </row>
    <row r="121" spans="1:1" x14ac:dyDescent="0.25">
      <c r="A121" t="s">
        <v>4</v>
      </c>
    </row>
    <row r="145" spans="1:1" x14ac:dyDescent="0.25">
      <c r="A145" t="s">
        <v>0</v>
      </c>
    </row>
    <row r="169" spans="1:1" x14ac:dyDescent="0.25">
      <c r="A169" t="s">
        <v>3</v>
      </c>
    </row>
    <row r="193" spans="1:1" x14ac:dyDescent="0.25">
      <c r="A193" t="s">
        <v>2</v>
      </c>
    </row>
    <row r="216" spans="1:1" x14ac:dyDescent="0.25">
      <c r="A216" t="s">
        <v>34</v>
      </c>
    </row>
    <row r="239" spans="1:1" x14ac:dyDescent="0.25">
      <c r="A239" t="s">
        <v>39</v>
      </c>
    </row>
  </sheetData>
  <mergeCells count="4">
    <mergeCell ref="A2:M2"/>
    <mergeCell ref="B12:H12"/>
    <mergeCell ref="J12:M12"/>
    <mergeCell ref="A13:A14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9"/>
  <sheetViews>
    <sheetView topLeftCell="A7" zoomScaleNormal="100" workbookViewId="0">
      <selection activeCell="B7" sqref="B7"/>
    </sheetView>
  </sheetViews>
  <sheetFormatPr defaultRowHeight="15" x14ac:dyDescent="0.25"/>
  <cols>
    <col min="1" max="1" width="30.140625" bestFit="1" customWidth="1"/>
    <col min="2" max="2" width="10.5703125" bestFit="1" customWidth="1"/>
    <col min="3" max="3" width="10.5703125" customWidth="1"/>
    <col min="4" max="4" width="10.5703125" bestFit="1" customWidth="1"/>
    <col min="5" max="6" width="10.5703125" customWidth="1"/>
    <col min="7" max="7" width="10.5703125" bestFit="1" customWidth="1"/>
    <col min="8" max="8" width="11.7109375" bestFit="1" customWidth="1"/>
    <col min="9" max="9" width="10.7109375" bestFit="1" customWidth="1"/>
    <col min="10" max="10" width="10.5703125" bestFit="1" customWidth="1"/>
    <col min="11" max="11" width="8.28515625" bestFit="1" customWidth="1"/>
    <col min="12" max="12" width="12.5703125" bestFit="1" customWidth="1"/>
    <col min="13" max="13" width="11.42578125" customWidth="1"/>
    <col min="14" max="14" width="9.140625" customWidth="1"/>
    <col min="15" max="15" width="11.140625" bestFit="1" customWidth="1"/>
    <col min="16" max="16" width="10.5703125" bestFit="1" customWidth="1"/>
  </cols>
  <sheetData>
    <row r="1" spans="1:18" ht="15.75" thickBot="1" x14ac:dyDescent="0.3"/>
    <row r="2" spans="1:18" ht="19.5" thickBot="1" x14ac:dyDescent="0.35">
      <c r="A2" s="79" t="s">
        <v>46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1"/>
    </row>
    <row r="3" spans="1:18" x14ac:dyDescent="0.25">
      <c r="N3" s="39"/>
      <c r="O3" s="39"/>
    </row>
    <row r="4" spans="1:18" x14ac:dyDescent="0.25">
      <c r="A4" s="20" t="s">
        <v>8</v>
      </c>
      <c r="B4" s="21">
        <v>2.8</v>
      </c>
      <c r="C4" s="3"/>
      <c r="D4" s="3"/>
      <c r="E4" s="3"/>
      <c r="F4" s="3"/>
      <c r="H4" s="2"/>
      <c r="I4" s="39"/>
      <c r="J4" s="39"/>
      <c r="K4" s="3"/>
      <c r="L4" s="3"/>
      <c r="M4" s="3"/>
      <c r="N4" s="39"/>
      <c r="O4" s="39"/>
    </row>
    <row r="5" spans="1:18" x14ac:dyDescent="0.25">
      <c r="A5" s="20" t="s">
        <v>22</v>
      </c>
      <c r="B5" s="22">
        <f>12*1024</f>
        <v>12288</v>
      </c>
      <c r="C5" s="3"/>
      <c r="D5" s="3"/>
      <c r="E5" s="3"/>
      <c r="F5" s="3"/>
      <c r="H5" s="2"/>
      <c r="I5" s="39"/>
      <c r="J5" s="39"/>
      <c r="K5" s="6"/>
      <c r="L5" s="6"/>
      <c r="M5" s="6"/>
      <c r="N5" s="39"/>
      <c r="O5" s="39"/>
    </row>
    <row r="6" spans="1:18" x14ac:dyDescent="0.25">
      <c r="A6" s="20"/>
      <c r="B6" s="22"/>
      <c r="C6" s="3"/>
      <c r="D6" s="3"/>
      <c r="E6" s="3"/>
      <c r="F6" s="3"/>
      <c r="I6" s="39"/>
      <c r="J6" s="39"/>
      <c r="K6" s="6"/>
      <c r="L6" s="6"/>
      <c r="M6" s="6"/>
      <c r="N6" s="39"/>
      <c r="O6" s="39"/>
      <c r="P6" s="2"/>
      <c r="Q6" s="4"/>
      <c r="R6" s="4"/>
    </row>
    <row r="7" spans="1:18" x14ac:dyDescent="0.25">
      <c r="A7" s="20" t="s">
        <v>23</v>
      </c>
      <c r="B7" s="22">
        <f>5920+5070</f>
        <v>10990</v>
      </c>
      <c r="C7" s="3"/>
      <c r="D7" s="3"/>
      <c r="E7" s="3"/>
      <c r="F7" s="3"/>
      <c r="G7" s="40"/>
      <c r="H7" s="2"/>
      <c r="I7" s="39"/>
      <c r="J7" s="39"/>
      <c r="K7" s="6"/>
      <c r="L7" s="6"/>
      <c r="M7" s="6"/>
      <c r="N7" s="39"/>
      <c r="O7" s="39"/>
      <c r="P7" s="5"/>
      <c r="Q7" s="4"/>
      <c r="R7" s="4"/>
    </row>
    <row r="8" spans="1:18" x14ac:dyDescent="0.25">
      <c r="A8" s="20" t="s">
        <v>24</v>
      </c>
      <c r="B8" s="22">
        <v>25200</v>
      </c>
      <c r="C8" s="3"/>
      <c r="D8" s="3"/>
      <c r="E8" s="3"/>
      <c r="F8" s="3"/>
      <c r="H8" s="2"/>
      <c r="I8" s="39"/>
      <c r="J8" s="39"/>
      <c r="K8" s="6"/>
      <c r="L8" s="6"/>
      <c r="M8" s="6"/>
      <c r="O8" s="39"/>
    </row>
    <row r="9" spans="1:18" x14ac:dyDescent="0.25">
      <c r="A9" s="20" t="s">
        <v>38</v>
      </c>
      <c r="B9" s="56"/>
      <c r="C9" s="68"/>
      <c r="D9" s="3"/>
      <c r="E9" s="3"/>
      <c r="F9" s="3"/>
      <c r="H9" s="2"/>
      <c r="I9" s="39"/>
      <c r="J9" s="39"/>
      <c r="K9" s="6"/>
      <c r="L9" s="6"/>
      <c r="M9" s="6"/>
      <c r="O9" s="39"/>
    </row>
    <row r="10" spans="1:18" x14ac:dyDescent="0.25">
      <c r="A10" s="20"/>
      <c r="B10" s="56"/>
      <c r="C10" s="68"/>
      <c r="D10" s="4"/>
      <c r="E10" s="4"/>
      <c r="F10" s="4"/>
      <c r="G10" s="4"/>
      <c r="H10" s="4"/>
      <c r="I10" s="4"/>
      <c r="J10" s="39"/>
      <c r="K10" s="4"/>
      <c r="L10" s="4"/>
      <c r="M10" s="4"/>
      <c r="O10" s="39"/>
    </row>
    <row r="11" spans="1:18" ht="15.75" thickBot="1" x14ac:dyDescent="0.3">
      <c r="A11" s="38"/>
      <c r="B11" s="38"/>
      <c r="C11" s="38"/>
      <c r="D11" s="38"/>
      <c r="E11" s="38"/>
      <c r="F11" s="38"/>
      <c r="G11" s="4"/>
      <c r="H11" s="4"/>
      <c r="I11" s="4"/>
      <c r="J11" s="4"/>
      <c r="K11" s="4"/>
      <c r="L11" s="4"/>
      <c r="M11" s="4"/>
      <c r="O11" s="39"/>
      <c r="P11" s="39"/>
      <c r="R11" s="39"/>
    </row>
    <row r="12" spans="1:18" ht="15.75" thickBot="1" x14ac:dyDescent="0.3">
      <c r="A12" s="7"/>
      <c r="B12" s="82" t="s">
        <v>10</v>
      </c>
      <c r="C12" s="90"/>
      <c r="D12" s="83"/>
      <c r="E12" s="83"/>
      <c r="F12" s="83"/>
      <c r="G12" s="83"/>
      <c r="H12" s="84"/>
      <c r="I12" s="23" t="s">
        <v>25</v>
      </c>
      <c r="J12" s="85" t="s">
        <v>11</v>
      </c>
      <c r="K12" s="86"/>
      <c r="L12" s="86"/>
      <c r="M12" s="87"/>
      <c r="O12" s="39"/>
      <c r="P12" s="39"/>
      <c r="R12" s="39"/>
    </row>
    <row r="13" spans="1:18" ht="45" x14ac:dyDescent="0.25">
      <c r="A13" s="88" t="s">
        <v>12</v>
      </c>
      <c r="B13" s="8" t="s">
        <v>32</v>
      </c>
      <c r="C13" s="69" t="s">
        <v>32</v>
      </c>
      <c r="D13" s="55" t="s">
        <v>26</v>
      </c>
      <c r="E13" s="55" t="s">
        <v>36</v>
      </c>
      <c r="F13" s="55" t="s">
        <v>41</v>
      </c>
      <c r="G13" s="55" t="s">
        <v>29</v>
      </c>
      <c r="H13" s="9" t="s">
        <v>13</v>
      </c>
      <c r="I13" s="24" t="s">
        <v>14</v>
      </c>
      <c r="J13" s="8" t="s">
        <v>15</v>
      </c>
      <c r="K13" s="55" t="s">
        <v>16</v>
      </c>
      <c r="L13" s="55" t="s">
        <v>33</v>
      </c>
      <c r="M13" s="10" t="s">
        <v>17</v>
      </c>
      <c r="O13" s="39"/>
      <c r="P13" s="39"/>
      <c r="R13" s="39"/>
    </row>
    <row r="14" spans="1:18" ht="15.75" thickBot="1" x14ac:dyDescent="0.3">
      <c r="A14" s="89"/>
      <c r="B14" s="11" t="s">
        <v>27</v>
      </c>
      <c r="C14" s="70" t="s">
        <v>27</v>
      </c>
      <c r="D14" s="12" t="s">
        <v>27</v>
      </c>
      <c r="E14" s="12" t="s">
        <v>27</v>
      </c>
      <c r="F14" s="12" t="s">
        <v>27</v>
      </c>
      <c r="G14" s="12" t="s">
        <v>6</v>
      </c>
      <c r="H14" s="13" t="s">
        <v>7</v>
      </c>
      <c r="I14" s="25" t="s">
        <v>30</v>
      </c>
      <c r="J14" s="11" t="s">
        <v>6</v>
      </c>
      <c r="K14" s="12" t="s">
        <v>18</v>
      </c>
      <c r="L14" s="12" t="s">
        <v>7</v>
      </c>
      <c r="M14" s="14" t="s">
        <v>19</v>
      </c>
      <c r="N14" s="39"/>
      <c r="O14" s="39"/>
      <c r="P14" s="39"/>
      <c r="R14" s="39"/>
    </row>
    <row r="15" spans="1:18" x14ac:dyDescent="0.25">
      <c r="A15" s="1" t="s">
        <v>0</v>
      </c>
      <c r="B15" s="26">
        <v>27.2</v>
      </c>
      <c r="C15" s="71">
        <v>31.1</v>
      </c>
      <c r="D15" s="27">
        <f>6.3+6.8</f>
        <v>13.1</v>
      </c>
      <c r="E15" s="27"/>
      <c r="F15" s="27">
        <v>17.2</v>
      </c>
      <c r="G15" s="16">
        <f>SUM(B15:F15)</f>
        <v>88.6</v>
      </c>
      <c r="H15" s="67">
        <f>+G15/($B$26+$C$26)</f>
        <v>1.0045123693340286E-2</v>
      </c>
      <c r="I15" s="29">
        <v>250.03</v>
      </c>
      <c r="J15" s="15">
        <v>180</v>
      </c>
      <c r="K15" s="16">
        <v>468</v>
      </c>
      <c r="L15" s="30"/>
      <c r="M15" s="17"/>
      <c r="N15" s="39"/>
      <c r="O15" s="39"/>
      <c r="P15" s="52"/>
      <c r="R15" s="39"/>
    </row>
    <row r="16" spans="1:18" x14ac:dyDescent="0.25">
      <c r="A16" s="1" t="s">
        <v>1</v>
      </c>
      <c r="B16" s="32">
        <v>159.6</v>
      </c>
      <c r="C16" s="72">
        <v>176.3</v>
      </c>
      <c r="D16" s="33">
        <f>24.5+26.5</f>
        <v>51</v>
      </c>
      <c r="E16" s="33">
        <v>39.1</v>
      </c>
      <c r="F16" s="27">
        <v>75.3</v>
      </c>
      <c r="G16" s="16">
        <f t="shared" ref="G16:G22" si="0">SUM(B16:F16)</f>
        <v>501.3</v>
      </c>
      <c r="H16" s="67">
        <f t="shared" ref="H16:H22" si="1">+G16/($B$26+$C$26)</f>
        <v>5.6835445908256045E-2</v>
      </c>
      <c r="I16" s="34">
        <v>1560</v>
      </c>
      <c r="J16" s="15">
        <f>+G16+$B$9*H16</f>
        <v>501.3</v>
      </c>
      <c r="K16" s="16">
        <f t="shared" ref="K16:K22" si="2">+J16*$B$4</f>
        <v>1403.6399999999999</v>
      </c>
      <c r="L16" s="30">
        <f t="shared" ref="L16" si="3">+(I16-J16)/J16</f>
        <v>2.1119090365050868</v>
      </c>
      <c r="M16" s="17">
        <f>+K16/I16</f>
        <v>0.89976923076923065</v>
      </c>
      <c r="N16" s="39"/>
      <c r="O16" s="39"/>
      <c r="P16" s="53"/>
    </row>
    <row r="17" spans="1:17" x14ac:dyDescent="0.25">
      <c r="A17" s="1" t="s">
        <v>2</v>
      </c>
      <c r="B17" s="32">
        <v>921.9</v>
      </c>
      <c r="C17" s="72">
        <v>1035.5999999999999</v>
      </c>
      <c r="D17" s="33">
        <f>145.3+156.7</f>
        <v>302</v>
      </c>
      <c r="E17" s="33">
        <v>128.1</v>
      </c>
      <c r="F17" s="27">
        <v>447.1</v>
      </c>
      <c r="G17" s="16">
        <f t="shared" si="0"/>
        <v>2834.7</v>
      </c>
      <c r="H17" s="67">
        <f t="shared" si="1"/>
        <v>0.32138727012992896</v>
      </c>
      <c r="I17" s="34">
        <v>6100</v>
      </c>
      <c r="J17" s="15">
        <f>+G17+$B$9*H17</f>
        <v>2834.7</v>
      </c>
      <c r="K17" s="16">
        <f t="shared" si="2"/>
        <v>7937.1599999999989</v>
      </c>
      <c r="L17" s="30">
        <f>+(I17-J17)/J17</f>
        <v>1.1519031996331184</v>
      </c>
      <c r="M17" s="17">
        <f t="shared" ref="M17:M18" si="4">+K17/I17</f>
        <v>1.3011737704918032</v>
      </c>
      <c r="N17" s="39"/>
      <c r="O17" s="39"/>
      <c r="P17" s="52"/>
    </row>
    <row r="18" spans="1:17" x14ac:dyDescent="0.25">
      <c r="A18" s="1" t="s">
        <v>3</v>
      </c>
      <c r="B18" s="32">
        <v>1254.7</v>
      </c>
      <c r="C18" s="33">
        <v>1347.8</v>
      </c>
      <c r="D18" s="33">
        <f>135.5+146.1</f>
        <v>281.60000000000002</v>
      </c>
      <c r="E18" s="33">
        <v>164.3</v>
      </c>
      <c r="F18" s="27">
        <v>1.5</v>
      </c>
      <c r="G18" s="16">
        <f t="shared" si="0"/>
        <v>3049.9</v>
      </c>
      <c r="H18" s="67">
        <f t="shared" si="1"/>
        <v>0.34578580984558172</v>
      </c>
      <c r="I18" s="34">
        <v>7190</v>
      </c>
      <c r="J18" s="15">
        <f>+G18+$B$9*H18</f>
        <v>3049.9</v>
      </c>
      <c r="K18" s="16">
        <f t="shared" si="2"/>
        <v>8539.7199999999993</v>
      </c>
      <c r="L18" s="30">
        <f t="shared" ref="L18:L19" si="5">+(I18-J18)/J18</f>
        <v>1.3574543427653367</v>
      </c>
      <c r="M18" s="17">
        <f t="shared" si="4"/>
        <v>1.1877218358831709</v>
      </c>
      <c r="N18" s="39"/>
      <c r="O18" s="39"/>
      <c r="P18" s="52"/>
    </row>
    <row r="19" spans="1:17" x14ac:dyDescent="0.25">
      <c r="A19" s="1" t="s">
        <v>4</v>
      </c>
      <c r="B19" s="32">
        <v>188.6</v>
      </c>
      <c r="C19" s="33">
        <v>208.1</v>
      </c>
      <c r="D19" s="33">
        <f>27+29.1</f>
        <v>56.1</v>
      </c>
      <c r="E19" s="33">
        <v>19.3</v>
      </c>
      <c r="F19" s="27">
        <v>95.5</v>
      </c>
      <c r="G19" s="16">
        <f t="shared" si="0"/>
        <v>567.6</v>
      </c>
      <c r="H19" s="67">
        <f t="shared" si="1"/>
        <v>6.4352282261173219E-2</v>
      </c>
      <c r="I19" s="34">
        <v>1270</v>
      </c>
      <c r="J19" s="15">
        <f>+G19+$B$9*H19</f>
        <v>567.6</v>
      </c>
      <c r="K19" s="16">
        <f t="shared" si="2"/>
        <v>1589.28</v>
      </c>
      <c r="L19" s="30">
        <f t="shared" si="5"/>
        <v>1.2374911909795629</v>
      </c>
      <c r="M19" s="17">
        <f>+K19/I19</f>
        <v>1.2514015748031495</v>
      </c>
      <c r="N19" s="39"/>
      <c r="O19" s="39"/>
      <c r="P19" s="54"/>
    </row>
    <row r="20" spans="1:17" x14ac:dyDescent="0.25">
      <c r="A20" s="1" t="s">
        <v>21</v>
      </c>
      <c r="B20" s="32">
        <v>11.1</v>
      </c>
      <c r="C20" s="33">
        <v>14.1</v>
      </c>
      <c r="D20" s="33">
        <v>2.1</v>
      </c>
      <c r="E20" s="33">
        <v>0.8</v>
      </c>
      <c r="F20" s="27">
        <v>7.7</v>
      </c>
      <c r="G20" s="16">
        <f t="shared" si="0"/>
        <v>35.800000000000004</v>
      </c>
      <c r="H20" s="67">
        <f t="shared" si="1"/>
        <v>4.0588648783474301E-3</v>
      </c>
      <c r="I20" s="34">
        <v>115.61</v>
      </c>
      <c r="J20" s="15">
        <v>100</v>
      </c>
      <c r="K20" s="16">
        <f t="shared" si="2"/>
        <v>280</v>
      </c>
      <c r="L20" s="30"/>
      <c r="M20" s="17"/>
      <c r="N20" s="39"/>
      <c r="O20" s="39"/>
      <c r="P20" s="52"/>
    </row>
    <row r="21" spans="1:17" x14ac:dyDescent="0.25">
      <c r="A21" s="31" t="s">
        <v>35</v>
      </c>
      <c r="B21" s="32">
        <v>331.2</v>
      </c>
      <c r="C21" s="33">
        <v>372.7</v>
      </c>
      <c r="D21" s="33">
        <f>63.5+68.5</f>
        <v>132</v>
      </c>
      <c r="E21" s="33">
        <v>76.900000000000006</v>
      </c>
      <c r="F21" s="27">
        <v>182.6</v>
      </c>
      <c r="G21" s="16">
        <f t="shared" si="0"/>
        <v>1095.3999999999999</v>
      </c>
      <c r="H21" s="67">
        <f>+G21/($B$26+$C$26)</f>
        <v>0.1241921951883177</v>
      </c>
      <c r="I21" s="34">
        <v>2650</v>
      </c>
      <c r="J21" s="15">
        <f>+G21+$B$9*H21</f>
        <v>1095.3999999999999</v>
      </c>
      <c r="K21" s="16">
        <f t="shared" si="2"/>
        <v>3067.1199999999994</v>
      </c>
      <c r="L21" s="30">
        <f t="shared" ref="L21:L22" si="6">+(I21-J21)/J21</f>
        <v>1.4192075953989414</v>
      </c>
      <c r="M21" s="17">
        <f t="shared" ref="M21:M22" si="7">+K21/I21</f>
        <v>1.1574037735849054</v>
      </c>
      <c r="N21" s="39"/>
      <c r="O21" s="39"/>
      <c r="P21" s="54"/>
    </row>
    <row r="22" spans="1:17" x14ac:dyDescent="0.25">
      <c r="A22" s="31" t="s">
        <v>39</v>
      </c>
      <c r="B22" s="32">
        <v>188.5</v>
      </c>
      <c r="C22" s="33">
        <v>212.3</v>
      </c>
      <c r="D22" s="33">
        <f>45.1+48.7</f>
        <v>93.800000000000011</v>
      </c>
      <c r="E22" s="33">
        <v>39</v>
      </c>
      <c r="F22" s="27">
        <v>111.8</v>
      </c>
      <c r="G22" s="16">
        <f t="shared" si="0"/>
        <v>645.4</v>
      </c>
      <c r="H22" s="67">
        <f t="shared" si="1"/>
        <v>7.3172943924174047E-2</v>
      </c>
      <c r="I22" s="34">
        <v>1720</v>
      </c>
      <c r="J22" s="15">
        <f>+G22+$B$9*H22</f>
        <v>645.4</v>
      </c>
      <c r="K22" s="16">
        <f t="shared" si="2"/>
        <v>1807.12</v>
      </c>
      <c r="L22" s="30">
        <f t="shared" si="6"/>
        <v>1.6650139448404089</v>
      </c>
      <c r="M22" s="17">
        <f t="shared" si="7"/>
        <v>1.0506511627906976</v>
      </c>
      <c r="N22" s="39"/>
      <c r="O22" s="39"/>
      <c r="P22" s="54"/>
    </row>
    <row r="23" spans="1:17" x14ac:dyDescent="0.25">
      <c r="A23" s="31" t="s">
        <v>5</v>
      </c>
      <c r="B23" s="32">
        <v>449</v>
      </c>
      <c r="C23" s="33">
        <v>484.2</v>
      </c>
      <c r="D23" s="33"/>
      <c r="E23" s="33"/>
      <c r="F23" s="27"/>
      <c r="G23" s="16"/>
      <c r="H23" s="28"/>
      <c r="I23" s="34"/>
      <c r="J23" s="15"/>
      <c r="K23" s="16"/>
      <c r="L23" s="57"/>
      <c r="M23" s="58"/>
      <c r="N23" s="39"/>
      <c r="O23" s="39"/>
      <c r="P23" s="54"/>
    </row>
    <row r="24" spans="1:17" x14ac:dyDescent="0.25">
      <c r="A24" s="19" t="s">
        <v>37</v>
      </c>
      <c r="B24" s="41">
        <v>467.6</v>
      </c>
      <c r="C24" s="33"/>
      <c r="D24" s="33"/>
      <c r="E24" s="33"/>
      <c r="F24" s="33"/>
      <c r="G24" s="18"/>
      <c r="H24" s="65"/>
      <c r="I24" s="34"/>
      <c r="J24" s="66"/>
      <c r="K24" s="18"/>
      <c r="L24" s="61"/>
      <c r="M24" s="62"/>
      <c r="N24" s="39"/>
      <c r="O24" s="39"/>
      <c r="P24" s="39"/>
    </row>
    <row r="25" spans="1:17" ht="15.75" thickBot="1" x14ac:dyDescent="0.3">
      <c r="A25" s="19" t="s">
        <v>40</v>
      </c>
      <c r="B25" s="41">
        <v>938.6</v>
      </c>
      <c r="C25" s="73"/>
      <c r="D25" s="63"/>
      <c r="E25" s="63"/>
      <c r="F25" s="63"/>
      <c r="G25" s="44"/>
      <c r="H25" s="42"/>
      <c r="I25" s="64"/>
      <c r="J25" s="43"/>
      <c r="K25" s="44"/>
      <c r="L25" s="59"/>
      <c r="M25" s="60"/>
      <c r="N25" s="39"/>
      <c r="O25" s="39"/>
      <c r="P25" s="39"/>
    </row>
    <row r="26" spans="1:17" s="37" customFormat="1" ht="15.75" thickBot="1" x14ac:dyDescent="0.3">
      <c r="A26" s="35" t="s">
        <v>20</v>
      </c>
      <c r="B26" s="45">
        <f>SUM(B15:B25)</f>
        <v>4938</v>
      </c>
      <c r="C26" s="46">
        <f t="shared" ref="C26:E26" si="8">SUM(C15:C25)</f>
        <v>3882.2</v>
      </c>
      <c r="D26" s="46">
        <f t="shared" si="8"/>
        <v>931.7</v>
      </c>
      <c r="E26" s="46">
        <f t="shared" si="8"/>
        <v>467.5</v>
      </c>
      <c r="F26" s="46">
        <f>SUM(F15:F25)</f>
        <v>938.7</v>
      </c>
      <c r="G26" s="46">
        <f>SUM(G15:G25)</f>
        <v>8818.7000000000007</v>
      </c>
      <c r="H26" s="47">
        <f>SUM(H15:H25)</f>
        <v>0.99982993582911939</v>
      </c>
      <c r="I26" s="36">
        <f t="shared" ref="I26" si="9">SUM(I15:I25)</f>
        <v>20855.64</v>
      </c>
      <c r="J26" s="46">
        <f>SUM(J15:J25)</f>
        <v>8974.2999999999993</v>
      </c>
      <c r="K26" s="46">
        <f>SUM(K15:K25)</f>
        <v>25092.039999999994</v>
      </c>
      <c r="L26" s="48">
        <f>+(I26-J26)/J26</f>
        <v>1.3239294429649111</v>
      </c>
      <c r="M26" s="49">
        <f>+K26/I26</f>
        <v>1.2031297049623024</v>
      </c>
      <c r="N26" s="39"/>
      <c r="O26" s="39"/>
      <c r="P26" s="39"/>
      <c r="Q26" s="50"/>
    </row>
    <row r="27" spans="1:17" x14ac:dyDescent="0.25">
      <c r="N27" s="39"/>
      <c r="O27" s="39"/>
    </row>
    <row r="28" spans="1:17" x14ac:dyDescent="0.25">
      <c r="N28" s="39"/>
    </row>
    <row r="29" spans="1:17" x14ac:dyDescent="0.25">
      <c r="A29" t="s">
        <v>28</v>
      </c>
      <c r="N29" s="39"/>
    </row>
    <row r="30" spans="1:17" x14ac:dyDescent="0.25">
      <c r="N30" s="39"/>
    </row>
    <row r="73" spans="1:15" x14ac:dyDescent="0.25">
      <c r="J73" s="51"/>
      <c r="N73" s="39"/>
      <c r="O73" s="39"/>
    </row>
    <row r="74" spans="1:15" x14ac:dyDescent="0.25">
      <c r="A74" t="s">
        <v>21</v>
      </c>
      <c r="K74" s="40"/>
      <c r="M74" s="40"/>
      <c r="N74" s="39"/>
    </row>
    <row r="98" spans="1:1" x14ac:dyDescent="0.25">
      <c r="A98" t="s">
        <v>31</v>
      </c>
    </row>
    <row r="121" spans="1:1" x14ac:dyDescent="0.25">
      <c r="A121" t="s">
        <v>4</v>
      </c>
    </row>
    <row r="145" spans="1:1" x14ac:dyDescent="0.25">
      <c r="A145" t="s">
        <v>0</v>
      </c>
    </row>
    <row r="169" spans="1:1" x14ac:dyDescent="0.25">
      <c r="A169" t="s">
        <v>3</v>
      </c>
    </row>
    <row r="193" spans="1:1" x14ac:dyDescent="0.25">
      <c r="A193" t="s">
        <v>2</v>
      </c>
    </row>
    <row r="216" spans="1:1" x14ac:dyDescent="0.25">
      <c r="A216" t="s">
        <v>34</v>
      </c>
    </row>
    <row r="239" spans="1:1" x14ac:dyDescent="0.25">
      <c r="A239" t="s">
        <v>39</v>
      </c>
    </row>
  </sheetData>
  <mergeCells count="4">
    <mergeCell ref="A2:M2"/>
    <mergeCell ref="B12:H12"/>
    <mergeCell ref="J12:M12"/>
    <mergeCell ref="A13:A14"/>
  </mergeCell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9"/>
  <sheetViews>
    <sheetView topLeftCell="A7" zoomScaleNormal="100" workbookViewId="0">
      <selection activeCell="O9" sqref="O9"/>
    </sheetView>
  </sheetViews>
  <sheetFormatPr defaultRowHeight="15" x14ac:dyDescent="0.25"/>
  <cols>
    <col min="1" max="1" width="30.140625" bestFit="1" customWidth="1"/>
    <col min="2" max="2" width="10.5703125" bestFit="1" customWidth="1"/>
    <col min="3" max="3" width="10.5703125" customWidth="1"/>
    <col min="4" max="4" width="10.5703125" bestFit="1" customWidth="1"/>
    <col min="5" max="6" width="10.5703125" customWidth="1"/>
    <col min="7" max="7" width="10.5703125" bestFit="1" customWidth="1"/>
    <col min="8" max="8" width="11.7109375" bestFit="1" customWidth="1"/>
    <col min="9" max="9" width="10.7109375" bestFit="1" customWidth="1"/>
    <col min="10" max="10" width="10.5703125" bestFit="1" customWidth="1"/>
    <col min="11" max="11" width="8.28515625" bestFit="1" customWidth="1"/>
    <col min="12" max="12" width="12.5703125" bestFit="1" customWidth="1"/>
    <col min="13" max="13" width="11.42578125" customWidth="1"/>
    <col min="14" max="14" width="2.5703125" customWidth="1"/>
    <col min="15" max="15" width="11.140625" bestFit="1" customWidth="1"/>
    <col min="16" max="16" width="10.5703125" bestFit="1" customWidth="1"/>
  </cols>
  <sheetData>
    <row r="1" spans="1:18" ht="15.75" thickBot="1" x14ac:dyDescent="0.3"/>
    <row r="2" spans="1:18" ht="19.5" thickBot="1" x14ac:dyDescent="0.35">
      <c r="A2" s="79" t="s">
        <v>46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1"/>
    </row>
    <row r="3" spans="1:18" x14ac:dyDescent="0.25">
      <c r="N3" s="39"/>
      <c r="O3" s="39"/>
    </row>
    <row r="4" spans="1:18" x14ac:dyDescent="0.25">
      <c r="A4" s="20" t="s">
        <v>8</v>
      </c>
      <c r="B4" s="21">
        <v>2.8</v>
      </c>
      <c r="C4" s="3"/>
      <c r="D4" s="3"/>
      <c r="E4" s="3"/>
      <c r="F4" s="3"/>
      <c r="H4" s="2"/>
      <c r="I4" s="39"/>
      <c r="J4" s="39"/>
      <c r="K4" s="3"/>
      <c r="L4" s="3"/>
      <c r="M4" s="3"/>
      <c r="N4" s="39"/>
      <c r="O4" s="39"/>
    </row>
    <row r="5" spans="1:18" x14ac:dyDescent="0.25">
      <c r="A5" s="20" t="s">
        <v>22</v>
      </c>
      <c r="B5" s="22">
        <f>12*1024</f>
        <v>12288</v>
      </c>
      <c r="C5" s="3"/>
      <c r="D5" s="3"/>
      <c r="E5" s="3"/>
      <c r="F5" s="3"/>
      <c r="H5" s="2"/>
      <c r="I5" s="39"/>
      <c r="J5" s="39"/>
      <c r="K5" s="6"/>
      <c r="L5" s="6"/>
      <c r="M5" s="6"/>
      <c r="N5" s="39"/>
      <c r="O5" s="39"/>
    </row>
    <row r="6" spans="1:18" x14ac:dyDescent="0.25">
      <c r="A6" s="20"/>
      <c r="B6" s="22"/>
      <c r="C6" s="3"/>
      <c r="D6" s="3"/>
      <c r="E6" s="3"/>
      <c r="F6" s="3"/>
      <c r="I6" s="39"/>
      <c r="J6" s="39"/>
      <c r="K6" s="6"/>
      <c r="L6" s="6"/>
      <c r="M6" s="6"/>
      <c r="N6" s="39"/>
      <c r="O6" s="39"/>
      <c r="P6" s="2"/>
      <c r="Q6" s="4"/>
      <c r="R6" s="4"/>
    </row>
    <row r="7" spans="1:18" x14ac:dyDescent="0.25">
      <c r="A7" s="20" t="s">
        <v>23</v>
      </c>
      <c r="B7" s="22">
        <f>5920+5070</f>
        <v>10990</v>
      </c>
      <c r="C7" s="3"/>
      <c r="D7" s="3"/>
      <c r="E7" s="3"/>
      <c r="F7" s="3"/>
      <c r="G7" s="40"/>
      <c r="H7" s="2"/>
      <c r="I7" s="39"/>
      <c r="J7" s="39"/>
      <c r="K7" s="6"/>
      <c r="L7" s="6"/>
      <c r="M7" s="6"/>
      <c r="N7" s="39"/>
      <c r="O7" s="39"/>
      <c r="P7" s="5"/>
      <c r="Q7" s="4"/>
      <c r="R7" s="4"/>
    </row>
    <row r="8" spans="1:18" x14ac:dyDescent="0.25">
      <c r="A8" s="20" t="s">
        <v>24</v>
      </c>
      <c r="B8" s="22">
        <v>25200</v>
      </c>
      <c r="C8" s="3"/>
      <c r="D8" s="3"/>
      <c r="E8" s="3"/>
      <c r="F8" s="3"/>
      <c r="H8" s="2"/>
      <c r="I8" s="39"/>
      <c r="J8" s="39"/>
      <c r="K8" s="6"/>
      <c r="L8" s="6"/>
      <c r="M8" s="6"/>
      <c r="O8" s="39"/>
    </row>
    <row r="9" spans="1:18" x14ac:dyDescent="0.25">
      <c r="A9" s="20" t="s">
        <v>38</v>
      </c>
      <c r="B9" s="56"/>
      <c r="C9" s="68"/>
      <c r="D9" s="3"/>
      <c r="E9" s="3"/>
      <c r="F9" s="3"/>
      <c r="H9" s="2"/>
      <c r="I9" s="39"/>
      <c r="J9" s="39"/>
      <c r="K9" s="6"/>
      <c r="L9" s="6"/>
      <c r="M9" s="6"/>
      <c r="O9" s="39"/>
    </row>
    <row r="10" spans="1:18" x14ac:dyDescent="0.25">
      <c r="A10" s="20"/>
      <c r="B10" s="56"/>
      <c r="C10" s="68"/>
      <c r="D10" s="4"/>
      <c r="E10" s="4"/>
      <c r="F10" s="4"/>
      <c r="G10" s="4"/>
      <c r="H10" s="4"/>
      <c r="I10" s="4"/>
      <c r="J10" s="39"/>
      <c r="K10" s="4"/>
      <c r="L10" s="4"/>
      <c r="M10" s="4"/>
      <c r="O10" s="39"/>
    </row>
    <row r="11" spans="1:18" ht="15.75" thickBot="1" x14ac:dyDescent="0.3">
      <c r="A11" s="38"/>
      <c r="B11" s="38"/>
      <c r="C11" s="38"/>
      <c r="D11" s="38"/>
      <c r="E11" s="38"/>
      <c r="F11" s="38"/>
      <c r="G11" s="4"/>
      <c r="H11" s="4"/>
      <c r="I11" s="4"/>
      <c r="J11" s="4"/>
      <c r="K11" s="4"/>
      <c r="L11" s="4"/>
      <c r="M11" s="4"/>
      <c r="O11" s="39"/>
      <c r="P11" s="39"/>
      <c r="R11" s="39"/>
    </row>
    <row r="12" spans="1:18" ht="15.75" thickBot="1" x14ac:dyDescent="0.3">
      <c r="A12" s="7"/>
      <c r="B12" s="82" t="s">
        <v>10</v>
      </c>
      <c r="C12" s="90"/>
      <c r="D12" s="83"/>
      <c r="E12" s="83"/>
      <c r="F12" s="83"/>
      <c r="G12" s="83"/>
      <c r="H12" s="84"/>
      <c r="I12" s="23" t="s">
        <v>25</v>
      </c>
      <c r="J12" s="85" t="s">
        <v>11</v>
      </c>
      <c r="K12" s="86"/>
      <c r="L12" s="86"/>
      <c r="M12" s="87"/>
      <c r="O12" s="39"/>
      <c r="P12" s="39"/>
      <c r="R12" s="39"/>
    </row>
    <row r="13" spans="1:18" ht="45" x14ac:dyDescent="0.25">
      <c r="A13" s="88" t="s">
        <v>12</v>
      </c>
      <c r="B13" s="8" t="s">
        <v>32</v>
      </c>
      <c r="C13" s="69" t="s">
        <v>32</v>
      </c>
      <c r="D13" s="55" t="s">
        <v>26</v>
      </c>
      <c r="E13" s="55" t="s">
        <v>36</v>
      </c>
      <c r="F13" s="55" t="s">
        <v>41</v>
      </c>
      <c r="G13" s="55" t="s">
        <v>29</v>
      </c>
      <c r="H13" s="9" t="s">
        <v>13</v>
      </c>
      <c r="I13" s="24" t="s">
        <v>14</v>
      </c>
      <c r="J13" s="8" t="s">
        <v>15</v>
      </c>
      <c r="K13" s="55" t="s">
        <v>16</v>
      </c>
      <c r="L13" s="55" t="s">
        <v>33</v>
      </c>
      <c r="M13" s="10" t="s">
        <v>17</v>
      </c>
      <c r="O13" s="74" t="s">
        <v>47</v>
      </c>
      <c r="P13" s="75" t="s">
        <v>48</v>
      </c>
      <c r="R13" s="39"/>
    </row>
    <row r="14" spans="1:18" ht="15.75" thickBot="1" x14ac:dyDescent="0.3">
      <c r="A14" s="89"/>
      <c r="B14" s="11" t="s">
        <v>27</v>
      </c>
      <c r="C14" s="70" t="s">
        <v>27</v>
      </c>
      <c r="D14" s="12" t="s">
        <v>27</v>
      </c>
      <c r="E14" s="12" t="s">
        <v>27</v>
      </c>
      <c r="F14" s="12" t="s">
        <v>27</v>
      </c>
      <c r="G14" s="12" t="s">
        <v>6</v>
      </c>
      <c r="H14" s="13" t="s">
        <v>7</v>
      </c>
      <c r="I14" s="25" t="s">
        <v>30</v>
      </c>
      <c r="J14" s="11" t="s">
        <v>6</v>
      </c>
      <c r="K14" s="12" t="s">
        <v>18</v>
      </c>
      <c r="L14" s="12" t="s">
        <v>7</v>
      </c>
      <c r="M14" s="14" t="s">
        <v>19</v>
      </c>
      <c r="N14" s="39"/>
      <c r="O14" s="76"/>
      <c r="P14" s="76"/>
      <c r="R14" s="39"/>
    </row>
    <row r="15" spans="1:18" x14ac:dyDescent="0.25">
      <c r="A15" s="1" t="s">
        <v>0</v>
      </c>
      <c r="B15" s="26">
        <v>27.2</v>
      </c>
      <c r="C15" s="71">
        <v>31.1</v>
      </c>
      <c r="D15" s="27">
        <f>6.3+6.8</f>
        <v>13.1</v>
      </c>
      <c r="E15" s="27"/>
      <c r="F15" s="27">
        <v>11.8</v>
      </c>
      <c r="G15" s="16">
        <f>SUM(B15:F15)</f>
        <v>83.199999999999989</v>
      </c>
      <c r="H15" s="67">
        <f>+G15/($B$26+$C$26)</f>
        <v>9.4328926781705614E-3</v>
      </c>
      <c r="I15" s="29">
        <v>250.03</v>
      </c>
      <c r="J15" s="15">
        <v>180</v>
      </c>
      <c r="K15" s="16">
        <v>468</v>
      </c>
      <c r="L15" s="30"/>
      <c r="M15" s="17"/>
      <c r="N15" s="39"/>
      <c r="O15" s="76">
        <f>+'2022-05'!K15</f>
        <v>468</v>
      </c>
      <c r="P15" s="77">
        <f>+K15-O15</f>
        <v>0</v>
      </c>
      <c r="R15" s="39"/>
    </row>
    <row r="16" spans="1:18" x14ac:dyDescent="0.25">
      <c r="A16" s="1" t="s">
        <v>1</v>
      </c>
      <c r="B16" s="32">
        <v>159.6</v>
      </c>
      <c r="C16" s="72">
        <v>176.3</v>
      </c>
      <c r="D16" s="33">
        <f>24.5+26.5</f>
        <v>51</v>
      </c>
      <c r="E16" s="33">
        <v>39.1</v>
      </c>
      <c r="F16" s="27">
        <v>51.9</v>
      </c>
      <c r="G16" s="16">
        <f t="shared" ref="G16:G22" si="0">SUM(B16:F16)</f>
        <v>477.9</v>
      </c>
      <c r="H16" s="67">
        <f t="shared" ref="H16:H22" si="1">+G16/($B$26+$C$26)</f>
        <v>5.418244484252057E-2</v>
      </c>
      <c r="I16" s="34">
        <v>1560</v>
      </c>
      <c r="J16" s="15">
        <f>+G16+$B$9*H16</f>
        <v>477.9</v>
      </c>
      <c r="K16" s="16">
        <f t="shared" ref="K16:K22" si="2">+J16*$B$4</f>
        <v>1338.12</v>
      </c>
      <c r="L16" s="30">
        <f t="shared" ref="L16" si="3">+(I16-J16)/J16</f>
        <v>2.2642812303829252</v>
      </c>
      <c r="M16" s="17">
        <f>+K16/I16</f>
        <v>0.85776923076923073</v>
      </c>
      <c r="N16" s="39"/>
      <c r="O16" s="76">
        <f>+'2022-05'!K16</f>
        <v>1403.6399999999999</v>
      </c>
      <c r="P16" s="77">
        <f>+K16-O16</f>
        <v>-65.519999999999982</v>
      </c>
    </row>
    <row r="17" spans="1:17" x14ac:dyDescent="0.25">
      <c r="A17" s="1" t="s">
        <v>2</v>
      </c>
      <c r="B17" s="32">
        <v>921.9</v>
      </c>
      <c r="C17" s="72">
        <v>1035.5999999999999</v>
      </c>
      <c r="D17" s="33">
        <f>145.3+156.7</f>
        <v>302</v>
      </c>
      <c r="E17" s="33">
        <v>128.1</v>
      </c>
      <c r="F17" s="27">
        <v>308.3</v>
      </c>
      <c r="G17" s="16">
        <f t="shared" si="0"/>
        <v>2695.9</v>
      </c>
      <c r="H17" s="67">
        <f t="shared" si="1"/>
        <v>0.30565066551778869</v>
      </c>
      <c r="I17" s="34">
        <v>6100</v>
      </c>
      <c r="J17" s="15">
        <f>+G17+$B$9*H17</f>
        <v>2695.9</v>
      </c>
      <c r="K17" s="16">
        <f t="shared" si="2"/>
        <v>7548.5199999999995</v>
      </c>
      <c r="L17" s="30">
        <f>+(I17-J17)/J17</f>
        <v>1.262695203828035</v>
      </c>
      <c r="M17" s="17">
        <f t="shared" ref="M17:M18" si="4">+K17/I17</f>
        <v>1.2374622950819671</v>
      </c>
      <c r="N17" s="39"/>
      <c r="O17" s="76">
        <f>+'2022-05'!K17</f>
        <v>7937.1599999999989</v>
      </c>
      <c r="P17" s="77">
        <f t="shared" ref="P17:P22" si="5">+K17-O17</f>
        <v>-388.63999999999942</v>
      </c>
    </row>
    <row r="18" spans="1:17" x14ac:dyDescent="0.25">
      <c r="A18" s="1" t="s">
        <v>3</v>
      </c>
      <c r="B18" s="32">
        <v>1254.7</v>
      </c>
      <c r="C18" s="33">
        <v>1347.8</v>
      </c>
      <c r="D18" s="33">
        <f>135.5+146.1</f>
        <v>281.60000000000002</v>
      </c>
      <c r="E18" s="33">
        <v>164.3</v>
      </c>
      <c r="F18" s="27">
        <v>292.39999999999998</v>
      </c>
      <c r="G18" s="16">
        <f t="shared" si="0"/>
        <v>3340.8</v>
      </c>
      <c r="H18" s="67">
        <f t="shared" si="1"/>
        <v>0.37876692138500262</v>
      </c>
      <c r="I18" s="34">
        <v>7190</v>
      </c>
      <c r="J18" s="15">
        <f>+G18+$B$9*H18</f>
        <v>3340.8</v>
      </c>
      <c r="K18" s="16">
        <f t="shared" si="2"/>
        <v>9354.24</v>
      </c>
      <c r="L18" s="30">
        <f t="shared" ref="L18:L19" si="6">+(I18-J18)/J18</f>
        <v>1.1521791187739463</v>
      </c>
      <c r="M18" s="17">
        <f t="shared" si="4"/>
        <v>1.3010069541029208</v>
      </c>
      <c r="N18" s="39"/>
      <c r="O18" s="76">
        <f>+'2022-05'!K18</f>
        <v>8539.7199999999993</v>
      </c>
      <c r="P18" s="77">
        <f t="shared" si="5"/>
        <v>814.52000000000044</v>
      </c>
    </row>
    <row r="19" spans="1:17" x14ac:dyDescent="0.25">
      <c r="A19" s="1" t="s">
        <v>4</v>
      </c>
      <c r="B19" s="32">
        <v>188.6</v>
      </c>
      <c r="C19" s="33">
        <v>208.1</v>
      </c>
      <c r="D19" s="33">
        <f>27+29.1</f>
        <v>56.1</v>
      </c>
      <c r="E19" s="33">
        <v>19.3</v>
      </c>
      <c r="F19" s="27">
        <v>65.900000000000006</v>
      </c>
      <c r="G19" s="16">
        <f t="shared" si="0"/>
        <v>538</v>
      </c>
      <c r="H19" s="67">
        <f t="shared" si="1"/>
        <v>6.0996349289131759E-2</v>
      </c>
      <c r="I19" s="34">
        <v>1270</v>
      </c>
      <c r="J19" s="15">
        <f>+G19+$B$9*H19</f>
        <v>538</v>
      </c>
      <c r="K19" s="16">
        <f t="shared" si="2"/>
        <v>1506.3999999999999</v>
      </c>
      <c r="L19" s="30">
        <f t="shared" si="6"/>
        <v>1.3605947955390334</v>
      </c>
      <c r="M19" s="17">
        <f>+K19/I19</f>
        <v>1.1861417322834644</v>
      </c>
      <c r="N19" s="39"/>
      <c r="O19" s="76">
        <f>+'2022-05'!K19</f>
        <v>1589.28</v>
      </c>
      <c r="P19" s="77">
        <f t="shared" si="5"/>
        <v>-82.880000000000109</v>
      </c>
    </row>
    <row r="20" spans="1:17" x14ac:dyDescent="0.25">
      <c r="A20" s="1" t="s">
        <v>21</v>
      </c>
      <c r="B20" s="32">
        <v>11.1</v>
      </c>
      <c r="C20" s="33">
        <v>14.1</v>
      </c>
      <c r="D20" s="33">
        <v>2.1</v>
      </c>
      <c r="E20" s="33">
        <v>0.8</v>
      </c>
      <c r="F20" s="27">
        <v>5.3</v>
      </c>
      <c r="G20" s="16">
        <f t="shared" si="0"/>
        <v>33.4</v>
      </c>
      <c r="H20" s="67">
        <f t="shared" si="1"/>
        <v>3.7867622049386632E-3</v>
      </c>
      <c r="I20" s="34">
        <v>115.61</v>
      </c>
      <c r="J20" s="15">
        <v>100</v>
      </c>
      <c r="K20" s="16">
        <f t="shared" si="2"/>
        <v>280</v>
      </c>
      <c r="L20" s="30"/>
      <c r="M20" s="17"/>
      <c r="N20" s="39"/>
      <c r="O20" s="76">
        <f>+'2022-05'!K20</f>
        <v>280</v>
      </c>
      <c r="P20" s="77">
        <f t="shared" si="5"/>
        <v>0</v>
      </c>
    </row>
    <row r="21" spans="1:17" x14ac:dyDescent="0.25">
      <c r="A21" s="31" t="s">
        <v>35</v>
      </c>
      <c r="B21" s="32">
        <v>331.2</v>
      </c>
      <c r="C21" s="33">
        <v>372.7</v>
      </c>
      <c r="D21" s="33">
        <f>63.5+68.5</f>
        <v>132</v>
      </c>
      <c r="E21" s="33">
        <v>76.900000000000006</v>
      </c>
      <c r="F21" s="27">
        <v>125.9</v>
      </c>
      <c r="G21" s="16">
        <f t="shared" si="0"/>
        <v>1038.7</v>
      </c>
      <c r="H21" s="67">
        <f>+G21/($B$26+$C$26)</f>
        <v>0.11776376952903563</v>
      </c>
      <c r="I21" s="34">
        <v>2650</v>
      </c>
      <c r="J21" s="15">
        <f>+G21+$B$9*H21</f>
        <v>1038.7</v>
      </c>
      <c r="K21" s="16">
        <f t="shared" si="2"/>
        <v>2908.36</v>
      </c>
      <c r="L21" s="30">
        <f t="shared" ref="L21:L22" si="7">+(I21-J21)/J21</f>
        <v>1.5512660055839029</v>
      </c>
      <c r="M21" s="17">
        <f t="shared" ref="M21:M22" si="8">+K21/I21</f>
        <v>1.0974943396226415</v>
      </c>
      <c r="N21" s="39"/>
      <c r="O21" s="76">
        <f>+'2022-05'!K21</f>
        <v>3067.1199999999994</v>
      </c>
      <c r="P21" s="77">
        <f t="shared" si="5"/>
        <v>-158.75999999999931</v>
      </c>
    </row>
    <row r="22" spans="1:17" x14ac:dyDescent="0.25">
      <c r="A22" s="31" t="s">
        <v>39</v>
      </c>
      <c r="B22" s="32">
        <v>188.5</v>
      </c>
      <c r="C22" s="33">
        <v>212.3</v>
      </c>
      <c r="D22" s="33">
        <f>45.1+48.7</f>
        <v>93.800000000000011</v>
      </c>
      <c r="E22" s="33">
        <v>39</v>
      </c>
      <c r="F22" s="27">
        <v>77.099999999999994</v>
      </c>
      <c r="G22" s="16">
        <f t="shared" si="0"/>
        <v>610.70000000000005</v>
      </c>
      <c r="H22" s="67">
        <f t="shared" si="1"/>
        <v>6.9238792771138979E-2</v>
      </c>
      <c r="I22" s="34">
        <v>1720</v>
      </c>
      <c r="J22" s="15">
        <f>+G22+$B$9*H22</f>
        <v>610.70000000000005</v>
      </c>
      <c r="K22" s="16">
        <f t="shared" si="2"/>
        <v>1709.96</v>
      </c>
      <c r="L22" s="30">
        <f t="shared" si="7"/>
        <v>1.8164401506467986</v>
      </c>
      <c r="M22" s="17">
        <f t="shared" si="8"/>
        <v>0.99416279069767444</v>
      </c>
      <c r="N22" s="39"/>
      <c r="O22" s="76">
        <f>+'2022-05'!K22</f>
        <v>1807.12</v>
      </c>
      <c r="P22" s="77">
        <f t="shared" si="5"/>
        <v>-97.159999999999854</v>
      </c>
    </row>
    <row r="23" spans="1:17" x14ac:dyDescent="0.25">
      <c r="A23" s="31" t="s">
        <v>5</v>
      </c>
      <c r="B23" s="32">
        <v>449</v>
      </c>
      <c r="C23" s="33">
        <v>484.2</v>
      </c>
      <c r="D23" s="33"/>
      <c r="E23" s="33"/>
      <c r="F23" s="27"/>
      <c r="G23" s="16"/>
      <c r="H23" s="28"/>
      <c r="I23" s="34"/>
      <c r="J23" s="15"/>
      <c r="K23" s="16"/>
      <c r="L23" s="57"/>
      <c r="M23" s="58"/>
      <c r="N23" s="39"/>
      <c r="O23" s="76"/>
      <c r="P23" s="78"/>
    </row>
    <row r="24" spans="1:17" x14ac:dyDescent="0.25">
      <c r="A24" s="19" t="s">
        <v>37</v>
      </c>
      <c r="B24" s="41">
        <v>467.6</v>
      </c>
      <c r="C24" s="33"/>
      <c r="D24" s="33"/>
      <c r="E24" s="33"/>
      <c r="F24" s="33"/>
      <c r="G24" s="18"/>
      <c r="H24" s="65"/>
      <c r="I24" s="34"/>
      <c r="J24" s="66"/>
      <c r="K24" s="18"/>
      <c r="L24" s="61"/>
      <c r="M24" s="62"/>
      <c r="N24" s="39"/>
      <c r="O24" s="76"/>
      <c r="P24" s="76"/>
    </row>
    <row r="25" spans="1:17" ht="15.75" thickBot="1" x14ac:dyDescent="0.3">
      <c r="A25" s="19" t="s">
        <v>40</v>
      </c>
      <c r="B25" s="41">
        <v>938.6</v>
      </c>
      <c r="C25" s="73"/>
      <c r="D25" s="63"/>
      <c r="E25" s="63"/>
      <c r="F25" s="63"/>
      <c r="G25" s="44"/>
      <c r="H25" s="42"/>
      <c r="I25" s="64"/>
      <c r="J25" s="43"/>
      <c r="K25" s="44"/>
      <c r="L25" s="59"/>
      <c r="M25" s="60"/>
      <c r="N25" s="39"/>
      <c r="O25" s="76"/>
      <c r="P25" s="76"/>
    </row>
    <row r="26" spans="1:17" s="37" customFormat="1" ht="15.75" thickBot="1" x14ac:dyDescent="0.3">
      <c r="A26" s="35" t="s">
        <v>20</v>
      </c>
      <c r="B26" s="45">
        <f>SUM(B15:B25)</f>
        <v>4938</v>
      </c>
      <c r="C26" s="46">
        <f t="shared" ref="C26:E26" si="9">SUM(C15:C25)</f>
        <v>3882.2</v>
      </c>
      <c r="D26" s="46">
        <f t="shared" si="9"/>
        <v>931.7</v>
      </c>
      <c r="E26" s="46">
        <f t="shared" si="9"/>
        <v>467.5</v>
      </c>
      <c r="F26" s="46">
        <f>SUM(F15:F25)</f>
        <v>938.59999999999991</v>
      </c>
      <c r="G26" s="46">
        <f>SUM(G15:G25)</f>
        <v>8818.6</v>
      </c>
      <c r="H26" s="47">
        <f>SUM(H15:H25)</f>
        <v>0.99981859821772756</v>
      </c>
      <c r="I26" s="36">
        <f t="shared" ref="I26" si="10">SUM(I15:I25)</f>
        <v>20855.64</v>
      </c>
      <c r="J26" s="46">
        <f>SUM(J15:J25)</f>
        <v>8982.0000000000018</v>
      </c>
      <c r="K26" s="46">
        <f>SUM(K15:K25)</f>
        <v>25113.599999999999</v>
      </c>
      <c r="L26" s="48">
        <f>+(I26-J26)/J26</f>
        <v>1.3219372077488305</v>
      </c>
      <c r="M26" s="49">
        <f>+K26/I26</f>
        <v>1.2041634780807493</v>
      </c>
      <c r="N26" s="39"/>
      <c r="O26" s="39"/>
      <c r="P26" s="39"/>
      <c r="Q26" s="50"/>
    </row>
    <row r="27" spans="1:17" x14ac:dyDescent="0.25">
      <c r="N27" s="39"/>
      <c r="O27" s="39"/>
    </row>
    <row r="28" spans="1:17" x14ac:dyDescent="0.25">
      <c r="N28" s="39"/>
    </row>
    <row r="29" spans="1:17" x14ac:dyDescent="0.25">
      <c r="A29" t="s">
        <v>28</v>
      </c>
      <c r="N29" s="39"/>
    </row>
    <row r="30" spans="1:17" x14ac:dyDescent="0.25">
      <c r="N30" s="39"/>
    </row>
    <row r="73" spans="1:15" x14ac:dyDescent="0.25">
      <c r="J73" s="51"/>
      <c r="N73" s="39"/>
      <c r="O73" s="39"/>
    </row>
    <row r="74" spans="1:15" x14ac:dyDescent="0.25">
      <c r="A74" t="s">
        <v>21</v>
      </c>
      <c r="K74" s="40"/>
      <c r="M74" s="40"/>
      <c r="N74" s="39"/>
    </row>
    <row r="98" spans="1:1" x14ac:dyDescent="0.25">
      <c r="A98" t="s">
        <v>31</v>
      </c>
    </row>
    <row r="121" spans="1:1" x14ac:dyDescent="0.25">
      <c r="A121" t="s">
        <v>4</v>
      </c>
    </row>
    <row r="145" spans="1:1" x14ac:dyDescent="0.25">
      <c r="A145" t="s">
        <v>0</v>
      </c>
    </row>
    <row r="169" spans="1:1" x14ac:dyDescent="0.25">
      <c r="A169" t="s">
        <v>3</v>
      </c>
    </row>
    <row r="193" spans="1:1" x14ac:dyDescent="0.25">
      <c r="A193" t="s">
        <v>2</v>
      </c>
    </row>
    <row r="216" spans="1:1" x14ac:dyDescent="0.25">
      <c r="A216" t="s">
        <v>34</v>
      </c>
    </row>
    <row r="239" spans="1:1" x14ac:dyDescent="0.25">
      <c r="A239" t="s">
        <v>39</v>
      </c>
    </row>
  </sheetData>
  <mergeCells count="4">
    <mergeCell ref="A2:M2"/>
    <mergeCell ref="B12:H12"/>
    <mergeCell ref="J12:M12"/>
    <mergeCell ref="A13:A14"/>
  </mergeCell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9"/>
  <sheetViews>
    <sheetView topLeftCell="A10" zoomScaleNormal="100" workbookViewId="0">
      <selection activeCell="B7" sqref="B7"/>
    </sheetView>
  </sheetViews>
  <sheetFormatPr defaultRowHeight="15" x14ac:dyDescent="0.25"/>
  <cols>
    <col min="1" max="1" width="30.140625" bestFit="1" customWidth="1"/>
    <col min="2" max="2" width="10.5703125" bestFit="1" customWidth="1"/>
    <col min="3" max="3" width="10.5703125" customWidth="1"/>
    <col min="4" max="4" width="10.5703125" bestFit="1" customWidth="1"/>
    <col min="5" max="6" width="10.5703125" customWidth="1"/>
    <col min="7" max="7" width="10.5703125" bestFit="1" customWidth="1"/>
    <col min="8" max="8" width="11.7109375" bestFit="1" customWidth="1"/>
    <col min="9" max="9" width="10.7109375" bestFit="1" customWidth="1"/>
    <col min="10" max="10" width="10.5703125" bestFit="1" customWidth="1"/>
    <col min="11" max="11" width="8.28515625" bestFit="1" customWidth="1"/>
    <col min="12" max="12" width="12.5703125" bestFit="1" customWidth="1"/>
    <col min="13" max="13" width="11.42578125" customWidth="1"/>
    <col min="14" max="14" width="9.140625" customWidth="1"/>
    <col min="15" max="15" width="11.140625" bestFit="1" customWidth="1"/>
    <col min="16" max="16" width="10.5703125" bestFit="1" customWidth="1"/>
  </cols>
  <sheetData>
    <row r="1" spans="1:18" ht="15.75" thickBot="1" x14ac:dyDescent="0.3"/>
    <row r="2" spans="1:18" ht="19.5" thickBot="1" x14ac:dyDescent="0.35">
      <c r="A2" s="79" t="s">
        <v>49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1"/>
    </row>
    <row r="3" spans="1:18" x14ac:dyDescent="0.25">
      <c r="N3" s="39"/>
      <c r="O3" s="39"/>
    </row>
    <row r="4" spans="1:18" x14ac:dyDescent="0.25">
      <c r="A4" s="20" t="s">
        <v>8</v>
      </c>
      <c r="B4" s="21">
        <v>2.8</v>
      </c>
      <c r="C4" s="3"/>
      <c r="D4" s="3"/>
      <c r="E4" s="3"/>
      <c r="F4" s="3"/>
      <c r="H4" s="2"/>
      <c r="I4" s="39"/>
      <c r="J4" s="39"/>
      <c r="K4" s="3"/>
      <c r="L4" s="3"/>
      <c r="M4" s="3"/>
      <c r="N4" s="39"/>
      <c r="O4" s="39"/>
    </row>
    <row r="5" spans="1:18" x14ac:dyDescent="0.25">
      <c r="A5" s="20" t="s">
        <v>22</v>
      </c>
      <c r="B5" s="22">
        <f>12*1024</f>
        <v>12288</v>
      </c>
      <c r="C5" s="3"/>
      <c r="D5" s="3"/>
      <c r="E5" s="3"/>
      <c r="F5" s="3"/>
      <c r="H5" s="2"/>
      <c r="I5" s="39"/>
      <c r="J5" s="39"/>
      <c r="K5" s="6"/>
      <c r="L5" s="6"/>
      <c r="M5" s="6"/>
      <c r="N5" s="39"/>
      <c r="O5" s="39"/>
    </row>
    <row r="6" spans="1:18" x14ac:dyDescent="0.25">
      <c r="A6" s="20"/>
      <c r="B6" s="22"/>
      <c r="C6" s="3"/>
      <c r="D6" s="3"/>
      <c r="E6" s="3"/>
      <c r="F6" s="3"/>
      <c r="I6" s="39"/>
      <c r="J6" s="39"/>
      <c r="K6" s="6"/>
      <c r="L6" s="6"/>
      <c r="M6" s="6"/>
      <c r="N6" s="39"/>
      <c r="O6" s="39"/>
      <c r="P6" s="2"/>
      <c r="Q6" s="4"/>
      <c r="R6" s="4"/>
    </row>
    <row r="7" spans="1:18" x14ac:dyDescent="0.25">
      <c r="A7" s="20" t="s">
        <v>23</v>
      </c>
      <c r="B7" s="22">
        <f>5070+3840</f>
        <v>8910</v>
      </c>
      <c r="C7" s="3"/>
      <c r="D7" s="3"/>
      <c r="E7" s="3"/>
      <c r="F7" s="3"/>
      <c r="G7" s="40"/>
      <c r="H7" s="2"/>
      <c r="I7" s="39"/>
      <c r="J7" s="39"/>
      <c r="K7" s="6"/>
      <c r="L7" s="6"/>
      <c r="M7" s="6"/>
      <c r="N7" s="39"/>
      <c r="O7" s="39"/>
      <c r="P7" s="5"/>
      <c r="Q7" s="4"/>
      <c r="R7" s="4"/>
    </row>
    <row r="8" spans="1:18" x14ac:dyDescent="0.25">
      <c r="A8" s="20" t="s">
        <v>24</v>
      </c>
      <c r="B8" s="22">
        <v>25200</v>
      </c>
      <c r="C8" s="3"/>
      <c r="D8" s="3"/>
      <c r="E8" s="3"/>
      <c r="F8" s="3"/>
      <c r="H8" s="2"/>
      <c r="I8" s="39"/>
      <c r="J8" s="39"/>
      <c r="K8" s="6"/>
      <c r="L8" s="6"/>
      <c r="M8" s="6"/>
      <c r="O8" s="39"/>
    </row>
    <row r="9" spans="1:18" x14ac:dyDescent="0.25">
      <c r="A9" s="20" t="s">
        <v>38</v>
      </c>
      <c r="B9" s="56"/>
      <c r="C9" s="68"/>
      <c r="D9" s="3"/>
      <c r="E9" s="3"/>
      <c r="F9" s="3"/>
      <c r="H9" s="2"/>
      <c r="I9" s="39"/>
      <c r="J9" s="39"/>
      <c r="K9" s="6"/>
      <c r="L9" s="6"/>
      <c r="M9" s="6"/>
      <c r="O9" s="39"/>
    </row>
    <row r="10" spans="1:18" x14ac:dyDescent="0.25">
      <c r="A10" s="20"/>
      <c r="B10" s="56"/>
      <c r="C10" s="68"/>
      <c r="D10" s="4"/>
      <c r="E10" s="4"/>
      <c r="F10" s="4"/>
      <c r="G10" s="4"/>
      <c r="H10" s="4"/>
      <c r="I10" s="4"/>
      <c r="J10" s="39"/>
      <c r="K10" s="4"/>
      <c r="L10" s="4"/>
      <c r="M10" s="4"/>
      <c r="O10" s="39"/>
    </row>
    <row r="11" spans="1:18" ht="15.75" thickBot="1" x14ac:dyDescent="0.3">
      <c r="A11" s="38"/>
      <c r="B11" s="38"/>
      <c r="C11" s="38"/>
      <c r="D11" s="38"/>
      <c r="E11" s="38"/>
      <c r="F11" s="38"/>
      <c r="G11" s="4"/>
      <c r="H11" s="4"/>
      <c r="I11" s="4"/>
      <c r="J11" s="4"/>
      <c r="K11" s="4"/>
      <c r="L11" s="4"/>
      <c r="M11" s="4"/>
      <c r="O11" s="39"/>
      <c r="P11" s="39"/>
      <c r="R11" s="39"/>
    </row>
    <row r="12" spans="1:18" ht="15.75" thickBot="1" x14ac:dyDescent="0.3">
      <c r="A12" s="7"/>
      <c r="B12" s="82" t="s">
        <v>10</v>
      </c>
      <c r="C12" s="90"/>
      <c r="D12" s="83"/>
      <c r="E12" s="83"/>
      <c r="F12" s="83"/>
      <c r="G12" s="83"/>
      <c r="H12" s="84"/>
      <c r="I12" s="23" t="s">
        <v>25</v>
      </c>
      <c r="J12" s="85" t="s">
        <v>11</v>
      </c>
      <c r="K12" s="86"/>
      <c r="L12" s="86"/>
      <c r="M12" s="87"/>
      <c r="O12" s="39"/>
      <c r="P12" s="39"/>
      <c r="R12" s="39"/>
    </row>
    <row r="13" spans="1:18" ht="45" x14ac:dyDescent="0.25">
      <c r="A13" s="88" t="s">
        <v>12</v>
      </c>
      <c r="B13" s="8" t="s">
        <v>32</v>
      </c>
      <c r="C13" s="69" t="s">
        <v>32</v>
      </c>
      <c r="D13" s="55" t="s">
        <v>26</v>
      </c>
      <c r="E13" s="55" t="s">
        <v>36</v>
      </c>
      <c r="F13" s="55" t="s">
        <v>41</v>
      </c>
      <c r="G13" s="55" t="s">
        <v>29</v>
      </c>
      <c r="H13" s="9" t="s">
        <v>13</v>
      </c>
      <c r="I13" s="24" t="s">
        <v>14</v>
      </c>
      <c r="J13" s="8" t="s">
        <v>15</v>
      </c>
      <c r="K13" s="55" t="s">
        <v>16</v>
      </c>
      <c r="L13" s="55" t="s">
        <v>33</v>
      </c>
      <c r="M13" s="10" t="s">
        <v>17</v>
      </c>
      <c r="O13" s="39"/>
      <c r="P13" s="39"/>
      <c r="R13" s="39"/>
    </row>
    <row r="14" spans="1:18" ht="15.75" thickBot="1" x14ac:dyDescent="0.3">
      <c r="A14" s="89"/>
      <c r="B14" s="11" t="s">
        <v>27</v>
      </c>
      <c r="C14" s="70" t="s">
        <v>27</v>
      </c>
      <c r="D14" s="12" t="s">
        <v>27</v>
      </c>
      <c r="E14" s="12" t="s">
        <v>27</v>
      </c>
      <c r="F14" s="12" t="s">
        <v>27</v>
      </c>
      <c r="G14" s="12" t="s">
        <v>6</v>
      </c>
      <c r="H14" s="13" t="s">
        <v>7</v>
      </c>
      <c r="I14" s="25" t="s">
        <v>30</v>
      </c>
      <c r="J14" s="11" t="s">
        <v>6</v>
      </c>
      <c r="K14" s="12" t="s">
        <v>18</v>
      </c>
      <c r="L14" s="12" t="s">
        <v>7</v>
      </c>
      <c r="M14" s="14" t="s">
        <v>19</v>
      </c>
      <c r="N14" s="39"/>
      <c r="O14" s="39"/>
      <c r="P14" s="39"/>
      <c r="R14" s="39"/>
    </row>
    <row r="15" spans="1:18" x14ac:dyDescent="0.25">
      <c r="A15" s="1" t="s">
        <v>0</v>
      </c>
      <c r="B15" s="26">
        <v>16.100000000000001</v>
      </c>
      <c r="C15" s="71">
        <v>20.3</v>
      </c>
      <c r="D15" s="27">
        <f>4.8+5.4</f>
        <v>10.199999999999999</v>
      </c>
      <c r="E15" s="27">
        <v>0.4</v>
      </c>
      <c r="F15" s="27">
        <v>9.6999999999999993</v>
      </c>
      <c r="G15" s="16">
        <f>SUM(B15:F15)</f>
        <v>56.7</v>
      </c>
      <c r="H15" s="67">
        <f>+G15/($B$26+$C$26)</f>
        <v>7.7799121844127333E-3</v>
      </c>
      <c r="I15" s="29">
        <v>243.6</v>
      </c>
      <c r="J15" s="15">
        <v>180</v>
      </c>
      <c r="K15" s="16">
        <v>468</v>
      </c>
      <c r="L15" s="30"/>
      <c r="M15" s="17"/>
      <c r="N15" s="39"/>
      <c r="O15" s="39"/>
      <c r="P15" s="52"/>
      <c r="R15" s="39"/>
    </row>
    <row r="16" spans="1:18" x14ac:dyDescent="0.25">
      <c r="A16" s="1" t="s">
        <v>1</v>
      </c>
      <c r="B16" s="32">
        <v>200.6</v>
      </c>
      <c r="C16" s="72">
        <v>213.6</v>
      </c>
      <c r="D16" s="33">
        <f>24.7+27.7</f>
        <v>52.4</v>
      </c>
      <c r="E16" s="33">
        <v>40.200000000000003</v>
      </c>
      <c r="F16" s="27">
        <v>55.8</v>
      </c>
      <c r="G16" s="16">
        <f t="shared" ref="G16:G22" si="0">SUM(B16:F16)</f>
        <v>562.59999999999991</v>
      </c>
      <c r="H16" s="67">
        <f t="shared" ref="H16:H22" si="1">+G16/($B$26+$C$26)</f>
        <v>7.7195389681668489E-2</v>
      </c>
      <c r="I16" s="34">
        <v>1610</v>
      </c>
      <c r="J16" s="15">
        <f>+G16+$B$9*H16</f>
        <v>562.59999999999991</v>
      </c>
      <c r="K16" s="16">
        <f t="shared" ref="K16:K22" si="2">+J16*$B$4</f>
        <v>1575.2799999999997</v>
      </c>
      <c r="L16" s="30">
        <f t="shared" ref="L16" si="3">+(I16-J16)/J16</f>
        <v>1.8617134731603275</v>
      </c>
      <c r="M16" s="17">
        <f>+K16/I16</f>
        <v>0.97843478260869554</v>
      </c>
      <c r="N16" s="39"/>
      <c r="O16" s="39"/>
      <c r="P16" s="53"/>
    </row>
    <row r="17" spans="1:17" x14ac:dyDescent="0.25">
      <c r="A17" s="1" t="s">
        <v>2</v>
      </c>
      <c r="B17" s="32">
        <v>776.6</v>
      </c>
      <c r="C17" s="72">
        <v>871.2</v>
      </c>
      <c r="D17" s="33">
        <f>151.1+169.6</f>
        <v>320.7</v>
      </c>
      <c r="E17" s="33">
        <v>129.30000000000001</v>
      </c>
      <c r="F17" s="27">
        <v>333.2</v>
      </c>
      <c r="G17" s="16">
        <f t="shared" si="0"/>
        <v>2431</v>
      </c>
      <c r="H17" s="67">
        <f t="shared" si="1"/>
        <v>0.33356201975850713</v>
      </c>
      <c r="I17" s="34">
        <v>6310</v>
      </c>
      <c r="J17" s="15">
        <f>+G17+$B$9*H17</f>
        <v>2431</v>
      </c>
      <c r="K17" s="16">
        <f t="shared" si="2"/>
        <v>6806.7999999999993</v>
      </c>
      <c r="L17" s="30">
        <f>+(I17-J17)/J17</f>
        <v>1.5956396544631839</v>
      </c>
      <c r="M17" s="17">
        <f t="shared" ref="M17:M18" si="4">+K17/I17</f>
        <v>1.0787321711568938</v>
      </c>
      <c r="N17" s="39"/>
      <c r="O17" s="39"/>
      <c r="P17" s="52"/>
    </row>
    <row r="18" spans="1:17" x14ac:dyDescent="0.25">
      <c r="A18" s="1" t="s">
        <v>3</v>
      </c>
      <c r="B18" s="32">
        <v>710.4</v>
      </c>
      <c r="C18" s="33">
        <v>788.9</v>
      </c>
      <c r="D18" s="33">
        <f>139.5+156.6</f>
        <v>296.10000000000002</v>
      </c>
      <c r="E18" s="33">
        <v>157.1</v>
      </c>
      <c r="F18" s="27">
        <v>289.7</v>
      </c>
      <c r="G18" s="16">
        <f t="shared" si="0"/>
        <v>2242.1999999999998</v>
      </c>
      <c r="H18" s="67">
        <f t="shared" si="1"/>
        <v>0.30765642151481887</v>
      </c>
      <c r="I18" s="34">
        <v>6750</v>
      </c>
      <c r="J18" s="15">
        <f>+G18+$B$9*H18</f>
        <v>2242.1999999999998</v>
      </c>
      <c r="K18" s="16">
        <f t="shared" si="2"/>
        <v>6278.1599999999989</v>
      </c>
      <c r="L18" s="30">
        <f t="shared" ref="L18:L19" si="5">+(I18-J18)/J18</f>
        <v>2.0104361787530105</v>
      </c>
      <c r="M18" s="17">
        <f t="shared" si="4"/>
        <v>0.93009777777777758</v>
      </c>
      <c r="N18" s="39"/>
      <c r="O18" s="39"/>
      <c r="P18" s="52"/>
    </row>
    <row r="19" spans="1:17" x14ac:dyDescent="0.25">
      <c r="A19" s="1" t="s">
        <v>4</v>
      </c>
      <c r="B19" s="32">
        <v>153.1</v>
      </c>
      <c r="C19" s="33">
        <v>171.7</v>
      </c>
      <c r="D19" s="33">
        <f>28.3+31.7</f>
        <v>60</v>
      </c>
      <c r="E19" s="33">
        <v>19.5</v>
      </c>
      <c r="F19" s="27">
        <v>73.900000000000006</v>
      </c>
      <c r="G19" s="16">
        <f t="shared" si="0"/>
        <v>478.19999999999993</v>
      </c>
      <c r="H19" s="67">
        <f t="shared" si="1"/>
        <v>6.561470911086717E-2</v>
      </c>
      <c r="I19" s="34">
        <v>1190</v>
      </c>
      <c r="J19" s="15">
        <f>+G19+$B$9*H19</f>
        <v>478.19999999999993</v>
      </c>
      <c r="K19" s="16">
        <f t="shared" si="2"/>
        <v>1338.9599999999998</v>
      </c>
      <c r="L19" s="30">
        <f t="shared" si="5"/>
        <v>1.488498536177332</v>
      </c>
      <c r="M19" s="17">
        <f>+K19/I19</f>
        <v>1.1251764705882352</v>
      </c>
      <c r="N19" s="39"/>
      <c r="O19" s="39"/>
      <c r="P19" s="54"/>
    </row>
    <row r="20" spans="1:17" x14ac:dyDescent="0.25">
      <c r="A20" s="1" t="s">
        <v>21</v>
      </c>
      <c r="B20" s="32">
        <v>4.5</v>
      </c>
      <c r="C20" s="33">
        <v>5.0999999999999996</v>
      </c>
      <c r="D20" s="33">
        <f>2.3+2.5</f>
        <v>4.8</v>
      </c>
      <c r="E20" s="33">
        <v>0.8</v>
      </c>
      <c r="F20" s="27">
        <v>6.1</v>
      </c>
      <c r="G20" s="16">
        <f t="shared" si="0"/>
        <v>21.299999999999997</v>
      </c>
      <c r="H20" s="67">
        <f t="shared" si="1"/>
        <v>2.9226125137211852E-3</v>
      </c>
      <c r="I20" s="34">
        <v>95.93</v>
      </c>
      <c r="J20" s="15">
        <v>100</v>
      </c>
      <c r="K20" s="16">
        <f t="shared" si="2"/>
        <v>280</v>
      </c>
      <c r="L20" s="30"/>
      <c r="M20" s="17"/>
      <c r="N20" s="39"/>
      <c r="O20" s="39"/>
      <c r="P20" s="52"/>
    </row>
    <row r="21" spans="1:17" x14ac:dyDescent="0.25">
      <c r="A21" s="31" t="s">
        <v>35</v>
      </c>
      <c r="B21" s="32">
        <v>244</v>
      </c>
      <c r="C21" s="33">
        <v>272.2</v>
      </c>
      <c r="D21" s="33">
        <f>64.4+72.3</f>
        <v>136.69999999999999</v>
      </c>
      <c r="E21" s="33">
        <v>72.8</v>
      </c>
      <c r="F21" s="27">
        <v>133.19999999999999</v>
      </c>
      <c r="G21" s="16">
        <f t="shared" si="0"/>
        <v>858.90000000000009</v>
      </c>
      <c r="H21" s="67">
        <f>+G21/($B$26+$C$26)</f>
        <v>0.11785126234906697</v>
      </c>
      <c r="I21" s="34">
        <v>2540</v>
      </c>
      <c r="J21" s="15">
        <f>+G21+$B$9*H21</f>
        <v>858.90000000000009</v>
      </c>
      <c r="K21" s="16">
        <f t="shared" si="2"/>
        <v>2404.92</v>
      </c>
      <c r="L21" s="30">
        <f t="shared" ref="L21:L22" si="6">+(I21-J21)/J21</f>
        <v>1.9572709279310743</v>
      </c>
      <c r="M21" s="17">
        <f t="shared" ref="M21:M22" si="7">+K21/I21</f>
        <v>0.94681889763779525</v>
      </c>
      <c r="N21" s="39"/>
      <c r="O21" s="39"/>
      <c r="P21" s="54"/>
    </row>
    <row r="22" spans="1:17" x14ac:dyDescent="0.25">
      <c r="A22" s="31" t="s">
        <v>39</v>
      </c>
      <c r="B22" s="32">
        <v>184.3</v>
      </c>
      <c r="C22" s="33">
        <v>207.5</v>
      </c>
      <c r="D22" s="33">
        <f>50+56.1</f>
        <v>106.1</v>
      </c>
      <c r="E22" s="33">
        <v>44.2</v>
      </c>
      <c r="F22" s="27">
        <v>95.2</v>
      </c>
      <c r="G22" s="16">
        <f t="shared" si="0"/>
        <v>637.30000000000007</v>
      </c>
      <c r="H22" s="67">
        <f t="shared" si="1"/>
        <v>8.7445115257958297E-2</v>
      </c>
      <c r="I22" s="34">
        <v>2070</v>
      </c>
      <c r="J22" s="15">
        <f>+G22+$B$9*H22</f>
        <v>637.30000000000007</v>
      </c>
      <c r="K22" s="16">
        <f t="shared" si="2"/>
        <v>1784.44</v>
      </c>
      <c r="L22" s="30">
        <f t="shared" si="6"/>
        <v>2.2480778283383018</v>
      </c>
      <c r="M22" s="17">
        <f t="shared" si="7"/>
        <v>0.86204830917874398</v>
      </c>
      <c r="N22" s="39"/>
      <c r="O22" s="39"/>
      <c r="P22" s="54"/>
    </row>
    <row r="23" spans="1:17" x14ac:dyDescent="0.25">
      <c r="A23" s="31" t="s">
        <v>5</v>
      </c>
      <c r="B23" s="32">
        <v>464.9</v>
      </c>
      <c r="C23" s="33">
        <v>521.70000000000005</v>
      </c>
      <c r="D23" s="33"/>
      <c r="E23" s="33"/>
      <c r="F23" s="27"/>
      <c r="G23" s="16"/>
      <c r="H23" s="28"/>
      <c r="I23" s="34"/>
      <c r="J23" s="15"/>
      <c r="K23" s="16"/>
      <c r="L23" s="57"/>
      <c r="M23" s="58"/>
      <c r="N23" s="39"/>
      <c r="O23" s="39"/>
      <c r="P23" s="54"/>
    </row>
    <row r="24" spans="1:17" x14ac:dyDescent="0.25">
      <c r="A24" s="19" t="s">
        <v>37</v>
      </c>
      <c r="B24" s="41">
        <v>464.4</v>
      </c>
      <c r="C24" s="33"/>
      <c r="D24" s="33"/>
      <c r="E24" s="33"/>
      <c r="F24" s="33"/>
      <c r="G24" s="18"/>
      <c r="H24" s="65"/>
      <c r="I24" s="34"/>
      <c r="J24" s="66"/>
      <c r="K24" s="18"/>
      <c r="L24" s="61"/>
      <c r="M24" s="62"/>
      <c r="N24" s="39"/>
      <c r="O24" s="39"/>
      <c r="P24" s="39"/>
    </row>
    <row r="25" spans="1:17" ht="15.75" thickBot="1" x14ac:dyDescent="0.3">
      <c r="A25" s="19" t="s">
        <v>40</v>
      </c>
      <c r="B25" s="41">
        <v>996.9</v>
      </c>
      <c r="C25" s="73"/>
      <c r="D25" s="63"/>
      <c r="E25" s="63"/>
      <c r="F25" s="63"/>
      <c r="G25" s="44"/>
      <c r="H25" s="42"/>
      <c r="I25" s="64"/>
      <c r="J25" s="43"/>
      <c r="K25" s="44"/>
      <c r="L25" s="59"/>
      <c r="M25" s="60"/>
      <c r="N25" s="39"/>
      <c r="O25" s="39"/>
      <c r="P25" s="39"/>
    </row>
    <row r="26" spans="1:17" s="37" customFormat="1" ht="15.75" thickBot="1" x14ac:dyDescent="0.3">
      <c r="A26" s="35" t="s">
        <v>20</v>
      </c>
      <c r="B26" s="45">
        <f>SUM(B15:B25)</f>
        <v>4215.8</v>
      </c>
      <c r="C26" s="46">
        <f t="shared" ref="C26:E26" si="8">SUM(C15:C25)</f>
        <v>3072.2</v>
      </c>
      <c r="D26" s="46">
        <f t="shared" si="8"/>
        <v>986.99999999999989</v>
      </c>
      <c r="E26" s="46">
        <f t="shared" si="8"/>
        <v>464.3</v>
      </c>
      <c r="F26" s="46">
        <f>SUM(F15:F25)</f>
        <v>996.8</v>
      </c>
      <c r="G26" s="46">
        <f>SUM(G15:G25)</f>
        <v>7288.2</v>
      </c>
      <c r="H26" s="47">
        <f>SUM(H15:H25)</f>
        <v>1.0000274423710209</v>
      </c>
      <c r="I26" s="36">
        <f t="shared" ref="I26" si="9">SUM(I15:I25)</f>
        <v>20809.53</v>
      </c>
      <c r="J26" s="46">
        <f>SUM(J15:J25)</f>
        <v>7490.2</v>
      </c>
      <c r="K26" s="46">
        <f>SUM(K15:K25)</f>
        <v>20936.559999999994</v>
      </c>
      <c r="L26" s="48">
        <f>+(I26-J26)/J26</f>
        <v>1.7782342260553787</v>
      </c>
      <c r="M26" s="49">
        <f>+K26/I26</f>
        <v>1.0061044146600138</v>
      </c>
      <c r="N26" s="39"/>
      <c r="O26" s="39"/>
      <c r="P26" s="39"/>
      <c r="Q26" s="50"/>
    </row>
    <row r="27" spans="1:17" x14ac:dyDescent="0.25">
      <c r="N27" s="39"/>
      <c r="O27" s="39"/>
    </row>
    <row r="28" spans="1:17" x14ac:dyDescent="0.25">
      <c r="N28" s="39"/>
    </row>
    <row r="29" spans="1:17" x14ac:dyDescent="0.25">
      <c r="A29" t="s">
        <v>28</v>
      </c>
      <c r="N29" s="39"/>
    </row>
    <row r="30" spans="1:17" x14ac:dyDescent="0.25">
      <c r="N30" s="39"/>
    </row>
    <row r="73" spans="1:15" x14ac:dyDescent="0.25">
      <c r="J73" s="51"/>
      <c r="N73" s="39"/>
      <c r="O73" s="39"/>
    </row>
    <row r="74" spans="1:15" x14ac:dyDescent="0.25">
      <c r="A74" t="s">
        <v>21</v>
      </c>
      <c r="K74" s="40"/>
      <c r="M74" s="40"/>
      <c r="N74" s="39"/>
    </row>
    <row r="98" spans="1:1" x14ac:dyDescent="0.25">
      <c r="A98" t="s">
        <v>31</v>
      </c>
    </row>
    <row r="121" spans="1:1" x14ac:dyDescent="0.25">
      <c r="A121" t="s">
        <v>4</v>
      </c>
    </row>
    <row r="145" spans="1:1" x14ac:dyDescent="0.25">
      <c r="A145" t="s">
        <v>0</v>
      </c>
    </row>
    <row r="169" spans="1:1" x14ac:dyDescent="0.25">
      <c r="A169" t="s">
        <v>3</v>
      </c>
    </row>
    <row r="193" spans="1:1" x14ac:dyDescent="0.25">
      <c r="A193" t="s">
        <v>2</v>
      </c>
    </row>
    <row r="216" spans="1:1" x14ac:dyDescent="0.25">
      <c r="A216" t="s">
        <v>34</v>
      </c>
    </row>
    <row r="239" spans="1:1" x14ac:dyDescent="0.25">
      <c r="A239" t="s">
        <v>39</v>
      </c>
    </row>
  </sheetData>
  <mergeCells count="4">
    <mergeCell ref="A2:M2"/>
    <mergeCell ref="B12:H12"/>
    <mergeCell ref="J12:M12"/>
    <mergeCell ref="A13:A14"/>
  </mergeCell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9"/>
  <sheetViews>
    <sheetView tabSelected="1" zoomScaleNormal="100" workbookViewId="0">
      <selection activeCell="O18" sqref="O18"/>
    </sheetView>
  </sheetViews>
  <sheetFormatPr defaultRowHeight="15" x14ac:dyDescent="0.25"/>
  <cols>
    <col min="1" max="1" width="30.140625" bestFit="1" customWidth="1"/>
    <col min="2" max="2" width="10.5703125" bestFit="1" customWidth="1"/>
    <col min="3" max="3" width="10.5703125" customWidth="1"/>
    <col min="4" max="4" width="10.5703125" bestFit="1" customWidth="1"/>
    <col min="5" max="6" width="10.5703125" customWidth="1"/>
    <col min="7" max="7" width="10.5703125" bestFit="1" customWidth="1"/>
    <col min="8" max="8" width="11.7109375" bestFit="1" customWidth="1"/>
    <col min="9" max="9" width="10.7109375" bestFit="1" customWidth="1"/>
    <col min="10" max="10" width="10.5703125" bestFit="1" customWidth="1"/>
    <col min="11" max="11" width="8.28515625" bestFit="1" customWidth="1"/>
    <col min="12" max="12" width="12.5703125" bestFit="1" customWidth="1"/>
    <col min="13" max="13" width="11.42578125" customWidth="1"/>
    <col min="14" max="14" width="9.140625" customWidth="1"/>
    <col min="15" max="15" width="11.140625" bestFit="1" customWidth="1"/>
    <col min="16" max="16" width="10.5703125" bestFit="1" customWidth="1"/>
  </cols>
  <sheetData>
    <row r="1" spans="1:18" ht="15.75" thickBot="1" x14ac:dyDescent="0.3"/>
    <row r="2" spans="1:18" ht="19.5" thickBot="1" x14ac:dyDescent="0.35">
      <c r="A2" s="79" t="s">
        <v>49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1"/>
    </row>
    <row r="3" spans="1:18" x14ac:dyDescent="0.25">
      <c r="N3" s="39"/>
      <c r="O3" s="39"/>
    </row>
    <row r="4" spans="1:18" x14ac:dyDescent="0.25">
      <c r="A4" s="20" t="s">
        <v>8</v>
      </c>
      <c r="B4" s="21">
        <v>2.8</v>
      </c>
      <c r="C4" s="3"/>
      <c r="D4" s="91"/>
      <c r="E4" s="3"/>
      <c r="F4" s="3"/>
      <c r="H4" s="2"/>
      <c r="I4" s="39"/>
      <c r="J4" s="39"/>
      <c r="K4" s="3"/>
      <c r="L4" s="3"/>
      <c r="M4" s="3"/>
      <c r="N4" s="39"/>
      <c r="O4" s="39"/>
    </row>
    <row r="5" spans="1:18" x14ac:dyDescent="0.25">
      <c r="A5" s="20" t="s">
        <v>22</v>
      </c>
      <c r="B5" s="22">
        <f>9*1024</f>
        <v>9216</v>
      </c>
      <c r="C5" s="3"/>
      <c r="D5" s="91"/>
      <c r="E5" s="3"/>
      <c r="F5" s="3"/>
      <c r="H5" s="2"/>
      <c r="I5" s="39"/>
      <c r="J5" s="39"/>
      <c r="K5" s="6"/>
      <c r="L5" s="6"/>
      <c r="M5" s="6"/>
      <c r="N5" s="39"/>
      <c r="O5" s="39"/>
    </row>
    <row r="6" spans="1:18" x14ac:dyDescent="0.25">
      <c r="A6" s="20" t="s">
        <v>9</v>
      </c>
      <c r="B6" s="22">
        <f>12*1024</f>
        <v>12288</v>
      </c>
      <c r="C6" s="3"/>
      <c r="D6" s="3"/>
      <c r="E6" s="3"/>
      <c r="F6" s="3"/>
      <c r="I6" s="39"/>
      <c r="J6" s="39"/>
      <c r="K6" s="6"/>
      <c r="L6" s="6"/>
      <c r="M6" s="6"/>
      <c r="N6" s="39"/>
      <c r="O6" s="39"/>
      <c r="P6" s="2"/>
      <c r="Q6" s="4"/>
      <c r="R6" s="4"/>
    </row>
    <row r="7" spans="1:18" x14ac:dyDescent="0.25">
      <c r="A7" s="20" t="s">
        <v>23</v>
      </c>
      <c r="B7" s="22">
        <f>6033+4490</f>
        <v>10523</v>
      </c>
      <c r="C7" s="3"/>
      <c r="D7" s="3"/>
      <c r="E7" s="3"/>
      <c r="F7" s="3"/>
      <c r="G7" s="40"/>
      <c r="H7" s="2"/>
      <c r="I7" s="39"/>
      <c r="J7" s="39"/>
      <c r="K7" s="6"/>
      <c r="L7" s="6"/>
      <c r="M7" s="6"/>
      <c r="N7" s="39"/>
      <c r="O7" s="39"/>
      <c r="P7" s="5"/>
      <c r="Q7" s="4"/>
      <c r="R7" s="4"/>
    </row>
    <row r="8" spans="1:18" x14ac:dyDescent="0.25">
      <c r="A8" s="20" t="s">
        <v>24</v>
      </c>
      <c r="B8" s="22">
        <v>25200</v>
      </c>
      <c r="C8" s="3"/>
      <c r="D8" s="3"/>
      <c r="E8" s="3"/>
      <c r="F8" s="3"/>
      <c r="H8" s="2"/>
      <c r="I8" s="39"/>
      <c r="J8" s="39"/>
      <c r="K8" s="6"/>
      <c r="L8" s="6"/>
      <c r="M8" s="6"/>
      <c r="O8" s="39"/>
    </row>
    <row r="9" spans="1:18" x14ac:dyDescent="0.25">
      <c r="A9" s="20"/>
      <c r="B9" s="56"/>
      <c r="C9" s="68"/>
      <c r="D9" s="3"/>
      <c r="E9" s="3"/>
      <c r="F9" s="3"/>
      <c r="H9" s="2"/>
      <c r="I9" s="39"/>
      <c r="J9" s="39"/>
      <c r="K9" s="6"/>
      <c r="L9" s="6"/>
      <c r="M9" s="6"/>
      <c r="O9" s="39"/>
    </row>
    <row r="10" spans="1:18" x14ac:dyDescent="0.25">
      <c r="A10" s="20"/>
      <c r="B10" s="56"/>
      <c r="C10" s="68"/>
      <c r="D10" s="4"/>
      <c r="E10" s="4"/>
      <c r="F10" s="4"/>
      <c r="G10" s="4"/>
      <c r="H10" s="4"/>
      <c r="I10" s="4"/>
      <c r="J10" s="39"/>
      <c r="K10" s="4"/>
      <c r="L10" s="4"/>
      <c r="M10" s="4"/>
      <c r="O10" s="39"/>
    </row>
    <row r="11" spans="1:18" ht="15.75" thickBot="1" x14ac:dyDescent="0.3">
      <c r="A11" s="38"/>
      <c r="B11" s="38"/>
      <c r="C11" s="38"/>
      <c r="D11" s="38"/>
      <c r="E11" s="38"/>
      <c r="F11" s="38"/>
      <c r="G11" s="4"/>
      <c r="H11" s="4"/>
      <c r="I11" s="4"/>
      <c r="J11" s="4"/>
      <c r="K11" s="4"/>
      <c r="L11" s="4"/>
      <c r="M11" s="4"/>
      <c r="O11" s="39"/>
      <c r="P11" s="39"/>
      <c r="R11" s="39"/>
    </row>
    <row r="12" spans="1:18" ht="15.75" thickBot="1" x14ac:dyDescent="0.3">
      <c r="A12" s="7"/>
      <c r="B12" s="82" t="s">
        <v>10</v>
      </c>
      <c r="C12" s="90"/>
      <c r="D12" s="83"/>
      <c r="E12" s="83"/>
      <c r="F12" s="83"/>
      <c r="G12" s="83"/>
      <c r="H12" s="84"/>
      <c r="I12" s="23" t="s">
        <v>25</v>
      </c>
      <c r="J12" s="85" t="s">
        <v>11</v>
      </c>
      <c r="K12" s="86"/>
      <c r="L12" s="86"/>
      <c r="M12" s="87"/>
      <c r="O12" s="39"/>
      <c r="P12" s="39"/>
      <c r="R12" s="39"/>
    </row>
    <row r="13" spans="1:18" ht="45" x14ac:dyDescent="0.25">
      <c r="A13" s="88" t="s">
        <v>12</v>
      </c>
      <c r="B13" s="8" t="s">
        <v>32</v>
      </c>
      <c r="C13" s="69" t="s">
        <v>32</v>
      </c>
      <c r="D13" s="55" t="s">
        <v>26</v>
      </c>
      <c r="E13" s="55" t="s">
        <v>36</v>
      </c>
      <c r="F13" s="55" t="s">
        <v>41</v>
      </c>
      <c r="G13" s="55" t="s">
        <v>29</v>
      </c>
      <c r="H13" s="9" t="s">
        <v>13</v>
      </c>
      <c r="I13" s="24" t="s">
        <v>14</v>
      </c>
      <c r="J13" s="8" t="s">
        <v>15</v>
      </c>
      <c r="K13" s="55" t="s">
        <v>16</v>
      </c>
      <c r="L13" s="55" t="s">
        <v>33</v>
      </c>
      <c r="M13" s="10" t="s">
        <v>17</v>
      </c>
      <c r="O13" s="39"/>
      <c r="P13" s="39"/>
      <c r="R13" s="39"/>
    </row>
    <row r="14" spans="1:18" ht="15.75" thickBot="1" x14ac:dyDescent="0.3">
      <c r="A14" s="89"/>
      <c r="B14" s="11" t="s">
        <v>27</v>
      </c>
      <c r="C14" s="70" t="s">
        <v>27</v>
      </c>
      <c r="D14" s="12" t="s">
        <v>27</v>
      </c>
      <c r="E14" s="12" t="s">
        <v>27</v>
      </c>
      <c r="F14" s="12" t="s">
        <v>27</v>
      </c>
      <c r="G14" s="12" t="s">
        <v>6</v>
      </c>
      <c r="H14" s="13" t="s">
        <v>7</v>
      </c>
      <c r="I14" s="25" t="s">
        <v>30</v>
      </c>
      <c r="J14" s="11" t="s">
        <v>6</v>
      </c>
      <c r="K14" s="12" t="s">
        <v>18</v>
      </c>
      <c r="L14" s="12" t="s">
        <v>7</v>
      </c>
      <c r="M14" s="14" t="s">
        <v>19</v>
      </c>
      <c r="N14" s="39"/>
      <c r="O14" s="39"/>
      <c r="P14" s="39"/>
      <c r="R14" s="39"/>
    </row>
    <row r="15" spans="1:18" x14ac:dyDescent="0.25">
      <c r="A15" s="1" t="s">
        <v>0</v>
      </c>
      <c r="B15" s="26">
        <v>16</v>
      </c>
      <c r="C15" s="71">
        <v>18.899999999999999</v>
      </c>
      <c r="D15" s="27">
        <f>3.2+3.4</f>
        <v>6.6</v>
      </c>
      <c r="E15" s="27">
        <v>0.6</v>
      </c>
      <c r="F15" s="27">
        <v>8.1</v>
      </c>
      <c r="G15" s="16">
        <f>SUM(B15:F15)</f>
        <v>50.2</v>
      </c>
      <c r="H15" s="67">
        <f>+G15/($B$26+$C$26)</f>
        <v>6.3074835402321958E-3</v>
      </c>
      <c r="I15" s="29">
        <v>223.75</v>
      </c>
      <c r="J15" s="15">
        <v>180</v>
      </c>
      <c r="K15" s="16">
        <v>468</v>
      </c>
      <c r="L15" s="30">
        <f t="shared" ref="L15:L16" si="0">+(I15-J15)/J15</f>
        <v>0.24305555555555555</v>
      </c>
      <c r="M15" s="17"/>
      <c r="N15" s="39"/>
      <c r="O15" s="39"/>
      <c r="P15" s="52"/>
      <c r="R15" s="39"/>
    </row>
    <row r="16" spans="1:18" x14ac:dyDescent="0.25">
      <c r="A16" s="1" t="s">
        <v>1</v>
      </c>
      <c r="B16" s="32">
        <v>223.5</v>
      </c>
      <c r="C16" s="72">
        <v>219.4</v>
      </c>
      <c r="D16" s="33">
        <f>24.7+26.3</f>
        <v>51</v>
      </c>
      <c r="E16" s="33">
        <v>35.4</v>
      </c>
      <c r="F16" s="27">
        <v>59</v>
      </c>
      <c r="G16" s="16">
        <f t="shared" ref="G16:G22" si="1">SUM(B16:F16)</f>
        <v>588.29999999999995</v>
      </c>
      <c r="H16" s="67">
        <f t="shared" ref="H16:H22" si="2">+G16/($B$26+$C$26)</f>
        <v>7.3918178619892444E-2</v>
      </c>
      <c r="I16" s="34">
        <v>1610</v>
      </c>
      <c r="J16" s="15">
        <f>+H16*$B$5</f>
        <v>681.22993416092879</v>
      </c>
      <c r="K16" s="16">
        <f t="shared" ref="K16:K22" si="3">+J16*$B$4</f>
        <v>1907.4438156506005</v>
      </c>
      <c r="L16" s="30">
        <f>+(I16-J16)/J16</f>
        <v>1.3633723641093924</v>
      </c>
      <c r="M16" s="17">
        <f>+K16/I16</f>
        <v>1.184747711584224</v>
      </c>
      <c r="N16" s="39"/>
      <c r="O16" s="39"/>
      <c r="P16" s="53"/>
    </row>
    <row r="17" spans="1:17" x14ac:dyDescent="0.25">
      <c r="A17" s="1" t="s">
        <v>2</v>
      </c>
      <c r="B17" s="32">
        <v>850.5</v>
      </c>
      <c r="C17" s="72">
        <v>933</v>
      </c>
      <c r="D17" s="33">
        <f>158+168.8</f>
        <v>326.8</v>
      </c>
      <c r="E17" s="33">
        <v>114.7</v>
      </c>
      <c r="F17" s="27">
        <v>366</v>
      </c>
      <c r="G17" s="16">
        <f t="shared" si="1"/>
        <v>2591</v>
      </c>
      <c r="H17" s="67">
        <f t="shared" si="2"/>
        <v>0.32555159069206413</v>
      </c>
      <c r="I17" s="34">
        <v>6710</v>
      </c>
      <c r="J17" s="15">
        <f>+H17*$B$5</f>
        <v>3000.283459818063</v>
      </c>
      <c r="K17" s="16">
        <f t="shared" si="3"/>
        <v>8400.7936874905754</v>
      </c>
      <c r="L17" s="30">
        <f>+(I17-J17)/J17</f>
        <v>1.2364553515909773</v>
      </c>
      <c r="M17" s="17">
        <f t="shared" ref="M17:M18" si="4">+K17/I17</f>
        <v>1.2519811754829471</v>
      </c>
      <c r="N17" s="39"/>
      <c r="O17" s="39"/>
      <c r="P17" s="52"/>
    </row>
    <row r="18" spans="1:17" x14ac:dyDescent="0.25">
      <c r="A18" s="1" t="s">
        <v>3</v>
      </c>
      <c r="B18" s="32">
        <v>785.7</v>
      </c>
      <c r="C18" s="33">
        <v>887.5</v>
      </c>
      <c r="D18" s="33">
        <f>144.4+154.3</f>
        <v>298.70000000000005</v>
      </c>
      <c r="E18" s="33">
        <v>191.5</v>
      </c>
      <c r="F18" s="27">
        <v>377.5</v>
      </c>
      <c r="G18" s="16">
        <f t="shared" si="1"/>
        <v>2540.9</v>
      </c>
      <c r="H18" s="67">
        <f t="shared" si="2"/>
        <v>0.31925667186007939</v>
      </c>
      <c r="I18" s="34">
        <v>7760</v>
      </c>
      <c r="J18" s="15">
        <f>+H18*$B$5</f>
        <v>2942.2694878624916</v>
      </c>
      <c r="K18" s="16">
        <f t="shared" si="3"/>
        <v>8238.3545660149757</v>
      </c>
      <c r="L18" s="30">
        <f t="shared" ref="L18:L20" si="5">+(I18-J18)/J18</f>
        <v>1.6374198665389781</v>
      </c>
      <c r="M18" s="17">
        <f t="shared" si="4"/>
        <v>1.0616436296411051</v>
      </c>
      <c r="N18" s="39"/>
      <c r="O18" s="39"/>
      <c r="P18" s="52"/>
    </row>
    <row r="19" spans="1:17" x14ac:dyDescent="0.25">
      <c r="A19" s="1" t="s">
        <v>4</v>
      </c>
      <c r="B19" s="32">
        <v>149.5</v>
      </c>
      <c r="C19" s="33">
        <v>181.7</v>
      </c>
      <c r="D19" s="33">
        <f>28.5+30.4</f>
        <v>58.9</v>
      </c>
      <c r="E19" s="33">
        <v>16.8</v>
      </c>
      <c r="F19" s="27">
        <v>80.099999999999994</v>
      </c>
      <c r="G19" s="16">
        <f t="shared" si="1"/>
        <v>487</v>
      </c>
      <c r="H19" s="67">
        <f t="shared" si="2"/>
        <v>6.1190129165200779E-2</v>
      </c>
      <c r="I19" s="34">
        <v>1250</v>
      </c>
      <c r="J19" s="15">
        <f>+H19*$B$5</f>
        <v>563.92823038649044</v>
      </c>
      <c r="K19" s="16">
        <f t="shared" si="3"/>
        <v>1578.9990450821731</v>
      </c>
      <c r="L19" s="30">
        <f t="shared" si="5"/>
        <v>1.2165941207506275</v>
      </c>
      <c r="M19" s="17">
        <f>+K19/I19</f>
        <v>1.2631992360657385</v>
      </c>
      <c r="N19" s="39"/>
      <c r="O19" s="39"/>
      <c r="P19" s="54"/>
    </row>
    <row r="20" spans="1:17" x14ac:dyDescent="0.25">
      <c r="A20" s="1" t="s">
        <v>21</v>
      </c>
      <c r="B20" s="32">
        <v>4.8</v>
      </c>
      <c r="C20" s="33">
        <v>5.3</v>
      </c>
      <c r="D20" s="33">
        <f>2.2+2.3</f>
        <v>4.5</v>
      </c>
      <c r="E20" s="33">
        <v>0.7</v>
      </c>
      <c r="F20" s="27">
        <v>6.4</v>
      </c>
      <c r="G20" s="16">
        <f t="shared" si="1"/>
        <v>21.7</v>
      </c>
      <c r="H20" s="67">
        <f t="shared" si="2"/>
        <v>2.7265416897019651E-3</v>
      </c>
      <c r="I20" s="34">
        <v>77.59</v>
      </c>
      <c r="J20" s="15">
        <v>100</v>
      </c>
      <c r="K20" s="16">
        <f t="shared" si="3"/>
        <v>280</v>
      </c>
      <c r="L20" s="30"/>
      <c r="M20" s="17"/>
      <c r="N20" s="39"/>
      <c r="O20" s="39"/>
      <c r="P20" s="52"/>
    </row>
    <row r="21" spans="1:17" x14ac:dyDescent="0.25">
      <c r="A21" s="31" t="s">
        <v>35</v>
      </c>
      <c r="B21" s="32">
        <v>270.60000000000002</v>
      </c>
      <c r="C21" s="33">
        <v>314.5</v>
      </c>
      <c r="D21" s="33">
        <f>+67.9+72.5</f>
        <v>140.4</v>
      </c>
      <c r="E21" s="33">
        <v>79.099999999999994</v>
      </c>
      <c r="F21" s="27">
        <v>169.3</v>
      </c>
      <c r="G21" s="16">
        <f t="shared" si="1"/>
        <v>973.90000000000009</v>
      </c>
      <c r="H21" s="67">
        <f>+G21/($B$26+$C$26)</f>
        <v>0.12236769362215411</v>
      </c>
      <c r="I21" s="34">
        <v>3160</v>
      </c>
      <c r="J21" s="15">
        <f>+H21*$B$5</f>
        <v>1127.7406644217722</v>
      </c>
      <c r="K21" s="16">
        <f t="shared" si="3"/>
        <v>3157.6738603809617</v>
      </c>
      <c r="L21" s="30">
        <f t="shared" ref="L21:L22" si="6">+(I21-J21)/J21</f>
        <v>1.802062654732975</v>
      </c>
      <c r="M21" s="17">
        <f t="shared" ref="M21:M22" si="7">+K21/I21</f>
        <v>0.99926387986739296</v>
      </c>
      <c r="N21" s="39"/>
      <c r="O21" s="39"/>
      <c r="P21" s="54"/>
    </row>
    <row r="22" spans="1:17" x14ac:dyDescent="0.25">
      <c r="A22" s="31" t="s">
        <v>39</v>
      </c>
      <c r="B22" s="32">
        <v>209.7</v>
      </c>
      <c r="C22" s="33">
        <v>227.9</v>
      </c>
      <c r="D22" s="33">
        <f>54.2+58</f>
        <v>112.2</v>
      </c>
      <c r="E22" s="33">
        <v>46.5</v>
      </c>
      <c r="F22" s="27">
        <v>109.7</v>
      </c>
      <c r="G22" s="16">
        <f t="shared" si="1"/>
        <v>706.00000000000011</v>
      </c>
      <c r="H22" s="67">
        <f t="shared" si="2"/>
        <v>8.8706840227169931E-2</v>
      </c>
      <c r="I22" s="34">
        <v>2070</v>
      </c>
      <c r="J22" s="15">
        <f>+H22*$B$5</f>
        <v>817.52223953359805</v>
      </c>
      <c r="K22" s="16">
        <f t="shared" si="3"/>
        <v>2289.0622706940744</v>
      </c>
      <c r="L22" s="30">
        <f t="shared" si="6"/>
        <v>1.5320412092776201</v>
      </c>
      <c r="M22" s="17">
        <f t="shared" si="7"/>
        <v>1.105827183910181</v>
      </c>
      <c r="N22" s="39"/>
      <c r="O22" s="39"/>
      <c r="P22" s="54"/>
    </row>
    <row r="23" spans="1:17" x14ac:dyDescent="0.25">
      <c r="A23" s="31" t="s">
        <v>5</v>
      </c>
      <c r="B23" s="32">
        <v>482.9</v>
      </c>
      <c r="C23" s="33">
        <v>515.9</v>
      </c>
      <c r="D23" s="33"/>
      <c r="E23" s="33"/>
      <c r="F23" s="27"/>
      <c r="G23" s="16"/>
      <c r="H23" s="28"/>
      <c r="I23" s="34"/>
      <c r="J23" s="15"/>
      <c r="K23" s="16"/>
      <c r="L23" s="57"/>
      <c r="M23" s="58"/>
      <c r="N23" s="39"/>
      <c r="O23" s="39"/>
      <c r="P23" s="54"/>
    </row>
    <row r="24" spans="1:17" x14ac:dyDescent="0.25">
      <c r="A24" s="19" t="s">
        <v>37</v>
      </c>
      <c r="B24" s="41">
        <v>485.4</v>
      </c>
      <c r="C24" s="33"/>
      <c r="D24" s="33"/>
      <c r="E24" s="33"/>
      <c r="F24" s="33"/>
      <c r="G24" s="18"/>
      <c r="H24" s="65"/>
      <c r="I24" s="34"/>
      <c r="J24" s="66"/>
      <c r="K24" s="18"/>
      <c r="L24" s="61"/>
      <c r="M24" s="62"/>
      <c r="N24" s="39"/>
      <c r="O24" s="39"/>
      <c r="P24" s="39"/>
    </row>
    <row r="25" spans="1:17" ht="15.75" thickBot="1" x14ac:dyDescent="0.3">
      <c r="A25" s="19" t="s">
        <v>40</v>
      </c>
      <c r="B25" s="41">
        <v>1176.0999999999999</v>
      </c>
      <c r="C25" s="73"/>
      <c r="D25" s="63"/>
      <c r="E25" s="63"/>
      <c r="F25" s="63"/>
      <c r="G25" s="44"/>
      <c r="H25" s="42"/>
      <c r="I25" s="64"/>
      <c r="J25" s="43"/>
      <c r="K25" s="44"/>
      <c r="L25" s="59"/>
      <c r="M25" s="60"/>
      <c r="N25" s="39"/>
      <c r="O25" s="39"/>
      <c r="P25" s="39"/>
    </row>
    <row r="26" spans="1:17" s="37" customFormat="1" ht="15.75" thickBot="1" x14ac:dyDescent="0.3">
      <c r="A26" s="35" t="s">
        <v>20</v>
      </c>
      <c r="B26" s="45">
        <f>SUM(B15:B25)</f>
        <v>4654.7</v>
      </c>
      <c r="C26" s="46">
        <f t="shared" ref="C26:E26" si="8">SUM(C15:C25)</f>
        <v>3304.1000000000004</v>
      </c>
      <c r="D26" s="46">
        <f t="shared" si="8"/>
        <v>999.10000000000014</v>
      </c>
      <c r="E26" s="46">
        <f t="shared" si="8"/>
        <v>485.29999999999995</v>
      </c>
      <c r="F26" s="46">
        <f>SUM(F15:F25)</f>
        <v>1176.1000000000001</v>
      </c>
      <c r="G26" s="46">
        <f>SUM(G15:G25)</f>
        <v>7959</v>
      </c>
      <c r="H26" s="47">
        <f>SUM(H15:H25)</f>
        <v>1.000025129416495</v>
      </c>
      <c r="I26" s="36">
        <f t="shared" ref="I26" si="9">SUM(I15:I25)</f>
        <v>22861.34</v>
      </c>
      <c r="J26" s="46">
        <f>SUM(J15:J25)</f>
        <v>9412.9740161833452</v>
      </c>
      <c r="K26" s="46">
        <f>SUM(K15:K25)</f>
        <v>26320.327245313358</v>
      </c>
      <c r="L26" s="48">
        <f>+(I26-J26)/J26</f>
        <v>1.4287053125500424</v>
      </c>
      <c r="M26" s="49">
        <f>+K26/I26</f>
        <v>1.1513029089857969</v>
      </c>
      <c r="N26" s="39"/>
      <c r="O26" s="39"/>
      <c r="P26" s="39"/>
      <c r="Q26" s="50"/>
    </row>
    <row r="27" spans="1:17" x14ac:dyDescent="0.25">
      <c r="N27" s="39"/>
      <c r="O27" s="39"/>
    </row>
    <row r="28" spans="1:17" x14ac:dyDescent="0.25">
      <c r="N28" s="39"/>
    </row>
    <row r="29" spans="1:17" x14ac:dyDescent="0.25">
      <c r="A29" t="s">
        <v>28</v>
      </c>
      <c r="N29" s="39"/>
    </row>
    <row r="30" spans="1:17" x14ac:dyDescent="0.25">
      <c r="N30" s="39"/>
    </row>
    <row r="73" spans="1:15" x14ac:dyDescent="0.25">
      <c r="J73" s="51"/>
      <c r="N73" s="39"/>
      <c r="O73" s="39"/>
    </row>
    <row r="74" spans="1:15" x14ac:dyDescent="0.25">
      <c r="A74" t="s">
        <v>21</v>
      </c>
      <c r="K74" s="40"/>
      <c r="M74" s="40"/>
      <c r="N74" s="39"/>
    </row>
    <row r="98" spans="1:1" x14ac:dyDescent="0.25">
      <c r="A98" t="s">
        <v>31</v>
      </c>
    </row>
    <row r="121" spans="1:1" x14ac:dyDescent="0.25">
      <c r="A121" t="s">
        <v>4</v>
      </c>
    </row>
    <row r="145" spans="1:1" x14ac:dyDescent="0.25">
      <c r="A145" t="s">
        <v>0</v>
      </c>
    </row>
    <row r="169" spans="1:1" x14ac:dyDescent="0.25">
      <c r="A169" t="s">
        <v>3</v>
      </c>
    </row>
    <row r="193" spans="1:1" x14ac:dyDescent="0.25">
      <c r="A193" t="s">
        <v>2</v>
      </c>
    </row>
    <row r="216" spans="1:1" x14ac:dyDescent="0.25">
      <c r="A216" t="s">
        <v>34</v>
      </c>
    </row>
    <row r="239" spans="1:1" x14ac:dyDescent="0.25">
      <c r="A239" t="s">
        <v>39</v>
      </c>
    </row>
  </sheetData>
  <mergeCells count="4">
    <mergeCell ref="A2:M2"/>
    <mergeCell ref="B12:H12"/>
    <mergeCell ref="J12:M12"/>
    <mergeCell ref="A13:A14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2022-01</vt:lpstr>
      <vt:lpstr>2022-02</vt:lpstr>
      <vt:lpstr>2022-03</vt:lpstr>
      <vt:lpstr>2022-04</vt:lpstr>
      <vt:lpstr>2022-05</vt:lpstr>
      <vt:lpstr>2022-05 correg</vt:lpstr>
      <vt:lpstr>2022-06</vt:lpstr>
      <vt:lpstr>2022-07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pgomez</dc:creator>
  <cp:lastModifiedBy>pgomez</cp:lastModifiedBy>
  <cp:lastPrinted>2019-12-10T21:20:32Z</cp:lastPrinted>
  <dcterms:created xsi:type="dcterms:W3CDTF">2019-12-02T16:53:33Z</dcterms:created>
  <dcterms:modified xsi:type="dcterms:W3CDTF">2022-08-04T21:19:02Z</dcterms:modified>
</cp:coreProperties>
</file>