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90" windowHeight="7755" activeTab="7"/>
  </bookViews>
  <sheets>
    <sheet name="2022-05" sheetId="31" r:id="rId1"/>
    <sheet name="2022-05 correg" sheetId="32" state="hidden" r:id="rId2"/>
    <sheet name="2022-06" sheetId="33" r:id="rId3"/>
    <sheet name="2022-07" sheetId="34" r:id="rId4"/>
    <sheet name="2022-08" sheetId="35" r:id="rId5"/>
    <sheet name="2022-09" sheetId="36" r:id="rId6"/>
    <sheet name="2022-10" sheetId="37" r:id="rId7"/>
    <sheet name="2022-11" sheetId="3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8" l="1"/>
  <c r="B26" i="38" l="1"/>
  <c r="L26" i="38"/>
  <c r="I26" i="38"/>
  <c r="H26" i="38"/>
  <c r="G26" i="38"/>
  <c r="F26" i="38"/>
  <c r="E26" i="38"/>
  <c r="D26" i="38"/>
  <c r="C26" i="38"/>
  <c r="N25" i="38"/>
  <c r="M25" i="38"/>
  <c r="M24" i="38"/>
  <c r="N24" i="38" s="1"/>
  <c r="N23" i="38"/>
  <c r="M23" i="38"/>
  <c r="J22" i="38"/>
  <c r="J21" i="38"/>
  <c r="N20" i="38"/>
  <c r="J20" i="38"/>
  <c r="J19" i="38"/>
  <c r="J18" i="38"/>
  <c r="J17" i="38"/>
  <c r="J16" i="38"/>
  <c r="O15" i="38"/>
  <c r="J15" i="38"/>
  <c r="B6" i="38"/>
  <c r="B5" i="38"/>
  <c r="K17" i="38" l="1"/>
  <c r="M17" i="38" s="1"/>
  <c r="N17" i="38" s="1"/>
  <c r="P17" i="38" s="1"/>
  <c r="K16" i="38"/>
  <c r="M16" i="38" s="1"/>
  <c r="N16" i="38" s="1"/>
  <c r="K21" i="38"/>
  <c r="M21" i="38" s="1"/>
  <c r="N21" i="38" s="1"/>
  <c r="P21" i="38" s="1"/>
  <c r="K19" i="38"/>
  <c r="M19" i="38" s="1"/>
  <c r="N19" i="38" s="1"/>
  <c r="P19" i="38" s="1"/>
  <c r="K22" i="38"/>
  <c r="M22" i="38" s="1"/>
  <c r="O22" i="38" s="1"/>
  <c r="K15" i="38"/>
  <c r="K20" i="38"/>
  <c r="K18" i="38"/>
  <c r="M18" i="38" s="1"/>
  <c r="O18" i="38" s="1"/>
  <c r="O17" i="38"/>
  <c r="J26" i="38"/>
  <c r="N16" i="37"/>
  <c r="B7" i="37"/>
  <c r="O17" i="37"/>
  <c r="L26" i="37"/>
  <c r="I26" i="37"/>
  <c r="H26" i="37"/>
  <c r="G26" i="37"/>
  <c r="F26" i="37"/>
  <c r="E26" i="37"/>
  <c r="D26" i="37"/>
  <c r="C26" i="37"/>
  <c r="B26" i="37"/>
  <c r="J22" i="37"/>
  <c r="J21" i="37"/>
  <c r="N20" i="37"/>
  <c r="J20" i="37"/>
  <c r="J19" i="37"/>
  <c r="J18" i="37"/>
  <c r="J17" i="37"/>
  <c r="J16" i="37"/>
  <c r="O15" i="37"/>
  <c r="J15" i="37"/>
  <c r="B6" i="37"/>
  <c r="B5" i="37"/>
  <c r="O21" i="38" l="1"/>
  <c r="O16" i="38"/>
  <c r="O19" i="38"/>
  <c r="M26" i="38"/>
  <c r="O26" i="38" s="1"/>
  <c r="K26" i="38"/>
  <c r="N22" i="38"/>
  <c r="P22" i="38" s="1"/>
  <c r="N18" i="38"/>
  <c r="P18" i="38" s="1"/>
  <c r="P16" i="38"/>
  <c r="K17" i="37"/>
  <c r="M17" i="37" s="1"/>
  <c r="K18" i="37"/>
  <c r="M18" i="37" s="1"/>
  <c r="O18" i="37" s="1"/>
  <c r="K15" i="37"/>
  <c r="K21" i="37"/>
  <c r="M21" i="37" s="1"/>
  <c r="O21" i="37" s="1"/>
  <c r="K19" i="37"/>
  <c r="M19" i="37" s="1"/>
  <c r="N19" i="37" s="1"/>
  <c r="P19" i="37" s="1"/>
  <c r="K16" i="37"/>
  <c r="M16" i="37" s="1"/>
  <c r="O16" i="37" s="1"/>
  <c r="K20" i="37"/>
  <c r="K22" i="37"/>
  <c r="M22" i="37" s="1"/>
  <c r="O22" i="37" s="1"/>
  <c r="O19" i="37"/>
  <c r="M24" i="37"/>
  <c r="N24" i="37" s="1"/>
  <c r="M23" i="37"/>
  <c r="N23" i="37" s="1"/>
  <c r="J26" i="37"/>
  <c r="M25" i="37"/>
  <c r="N25" i="37" s="1"/>
  <c r="O16" i="36"/>
  <c r="B7" i="36"/>
  <c r="I26" i="36"/>
  <c r="H26" i="36"/>
  <c r="G26" i="36"/>
  <c r="F26" i="36"/>
  <c r="E26" i="36"/>
  <c r="H26" i="35"/>
  <c r="K24" i="36"/>
  <c r="K23" i="36"/>
  <c r="K25" i="36"/>
  <c r="J22" i="36"/>
  <c r="J21" i="36"/>
  <c r="J20" i="36"/>
  <c r="J19" i="36"/>
  <c r="J18" i="36"/>
  <c r="J17" i="36"/>
  <c r="J16" i="36"/>
  <c r="J15" i="36"/>
  <c r="K15" i="36" s="1"/>
  <c r="L26" i="36"/>
  <c r="C26" i="36"/>
  <c r="N20" i="36"/>
  <c r="O15" i="36"/>
  <c r="D26" i="36"/>
  <c r="B6" i="36"/>
  <c r="B5" i="36"/>
  <c r="N26" i="38" l="1"/>
  <c r="P26" i="38" s="1"/>
  <c r="N17" i="37"/>
  <c r="P17" i="37" s="1"/>
  <c r="N18" i="37"/>
  <c r="P18" i="37" s="1"/>
  <c r="N21" i="37"/>
  <c r="P21" i="37" s="1"/>
  <c r="N22" i="37"/>
  <c r="P22" i="37" s="1"/>
  <c r="P16" i="37"/>
  <c r="M26" i="37"/>
  <c r="O26" i="37" s="1"/>
  <c r="K26" i="37"/>
  <c r="J26" i="36"/>
  <c r="B26" i="36"/>
  <c r="K20" i="36" s="1"/>
  <c r="F21" i="35"/>
  <c r="G15" i="35"/>
  <c r="E20" i="35"/>
  <c r="E15" i="35"/>
  <c r="E19" i="35"/>
  <c r="E16" i="35"/>
  <c r="E22" i="35"/>
  <c r="E21" i="35"/>
  <c r="E17" i="35"/>
  <c r="E18" i="35"/>
  <c r="F20" i="35"/>
  <c r="F15" i="35"/>
  <c r="F16" i="35"/>
  <c r="F19" i="35"/>
  <c r="F22" i="35"/>
  <c r="F17" i="35"/>
  <c r="F18" i="35"/>
  <c r="D20" i="35"/>
  <c r="D15" i="35"/>
  <c r="D16" i="35"/>
  <c r="D19" i="35"/>
  <c r="D22" i="35"/>
  <c r="D21" i="35"/>
  <c r="D18" i="35"/>
  <c r="D17" i="35"/>
  <c r="B20" i="35"/>
  <c r="B15" i="35"/>
  <c r="B19" i="35"/>
  <c r="B22" i="35"/>
  <c r="B24" i="35"/>
  <c r="B16" i="35"/>
  <c r="B21" i="35"/>
  <c r="B23" i="35"/>
  <c r="B25" i="35"/>
  <c r="B18" i="35"/>
  <c r="B17" i="35"/>
  <c r="N26" i="37" l="1"/>
  <c r="P26" i="37" s="1"/>
  <c r="K21" i="36"/>
  <c r="M21" i="36" s="1"/>
  <c r="N21" i="36" s="1"/>
  <c r="P21" i="36" s="1"/>
  <c r="M25" i="36"/>
  <c r="N25" i="36" s="1"/>
  <c r="M24" i="36"/>
  <c r="N24" i="36" s="1"/>
  <c r="M23" i="36"/>
  <c r="N23" i="36" s="1"/>
  <c r="K19" i="36"/>
  <c r="M19" i="36" s="1"/>
  <c r="K18" i="36"/>
  <c r="M18" i="36" s="1"/>
  <c r="K22" i="36"/>
  <c r="M22" i="36" s="1"/>
  <c r="K17" i="36"/>
  <c r="M17" i="36" s="1"/>
  <c r="K16" i="36"/>
  <c r="M16" i="36" s="1"/>
  <c r="I26" i="35"/>
  <c r="F26" i="35"/>
  <c r="E26" i="35"/>
  <c r="C26" i="35"/>
  <c r="B26" i="35"/>
  <c r="H25" i="35" s="1"/>
  <c r="J25" i="35" s="1"/>
  <c r="K25" i="35" s="1"/>
  <c r="G22" i="35"/>
  <c r="G21" i="35"/>
  <c r="K20" i="35"/>
  <c r="G20" i="35"/>
  <c r="G19" i="35"/>
  <c r="G18" i="35"/>
  <c r="G17" i="35"/>
  <c r="G16" i="35"/>
  <c r="L15" i="35"/>
  <c r="B6" i="35"/>
  <c r="B5" i="35"/>
  <c r="O21" i="36" l="1"/>
  <c r="O22" i="36"/>
  <c r="N22" i="36"/>
  <c r="P22" i="36" s="1"/>
  <c r="K26" i="36"/>
  <c r="N16" i="36"/>
  <c r="M26" i="36"/>
  <c r="O26" i="36" s="1"/>
  <c r="N18" i="36"/>
  <c r="P18" i="36" s="1"/>
  <c r="O18" i="36"/>
  <c r="O17" i="36"/>
  <c r="N17" i="36"/>
  <c r="P17" i="36" s="1"/>
  <c r="O19" i="36"/>
  <c r="N19" i="36"/>
  <c r="P19" i="36" s="1"/>
  <c r="H23" i="35"/>
  <c r="J23" i="35" s="1"/>
  <c r="K23" i="35" s="1"/>
  <c r="H24" i="35"/>
  <c r="J24" i="35" s="1"/>
  <c r="K24" i="35" s="1"/>
  <c r="H17" i="35"/>
  <c r="J17" i="35" s="1"/>
  <c r="L17" i="35" s="1"/>
  <c r="H18" i="35"/>
  <c r="J18" i="35" s="1"/>
  <c r="L18" i="35" s="1"/>
  <c r="H21" i="35"/>
  <c r="J21" i="35" s="1"/>
  <c r="L21" i="35" s="1"/>
  <c r="H19" i="35"/>
  <c r="J19" i="35" s="1"/>
  <c r="L19" i="35" s="1"/>
  <c r="H22" i="35"/>
  <c r="J22" i="35" s="1"/>
  <c r="K22" i="35" s="1"/>
  <c r="M22" i="35" s="1"/>
  <c r="H16" i="35"/>
  <c r="J16" i="35" s="1"/>
  <c r="K16" i="35" s="1"/>
  <c r="H20" i="35"/>
  <c r="G26" i="35"/>
  <c r="H15" i="35"/>
  <c r="D26" i="35"/>
  <c r="B7" i="34"/>
  <c r="K26" i="34"/>
  <c r="M26" i="34" s="1"/>
  <c r="J26" i="34"/>
  <c r="L26" i="34" s="1"/>
  <c r="L16" i="34"/>
  <c r="L15" i="34"/>
  <c r="J22" i="34"/>
  <c r="J21" i="34"/>
  <c r="J19" i="34"/>
  <c r="J18" i="34"/>
  <c r="J17" i="34"/>
  <c r="J16" i="34"/>
  <c r="B5" i="34"/>
  <c r="B6" i="34"/>
  <c r="D20" i="34"/>
  <c r="D26" i="34" s="1"/>
  <c r="D15" i="34"/>
  <c r="D16" i="34"/>
  <c r="D19" i="34"/>
  <c r="D22" i="34"/>
  <c r="D21" i="34"/>
  <c r="D18" i="34"/>
  <c r="D17" i="34"/>
  <c r="I26" i="34"/>
  <c r="F26" i="34"/>
  <c r="E26" i="34"/>
  <c r="C26" i="34"/>
  <c r="B26" i="34"/>
  <c r="G22" i="34"/>
  <c r="G21" i="34"/>
  <c r="K20" i="34"/>
  <c r="G20" i="34"/>
  <c r="G19" i="34"/>
  <c r="G18" i="34"/>
  <c r="G17" i="34"/>
  <c r="G16" i="34"/>
  <c r="P16" i="36" l="1"/>
  <c r="N26" i="36"/>
  <c r="P26" i="36" s="1"/>
  <c r="K17" i="35"/>
  <c r="M17" i="35" s="1"/>
  <c r="L16" i="35"/>
  <c r="K18" i="35"/>
  <c r="M18" i="35" s="1"/>
  <c r="K21" i="35"/>
  <c r="M21" i="35" s="1"/>
  <c r="J26" i="35"/>
  <c r="L26" i="35" s="1"/>
  <c r="K19" i="35"/>
  <c r="M19" i="35" s="1"/>
  <c r="L22" i="35"/>
  <c r="M16" i="35"/>
  <c r="H20" i="34"/>
  <c r="H19" i="34"/>
  <c r="H18" i="34"/>
  <c r="H17" i="34"/>
  <c r="H22" i="34"/>
  <c r="G15" i="34"/>
  <c r="H16" i="34"/>
  <c r="H21" i="34"/>
  <c r="B7" i="33"/>
  <c r="D20" i="33"/>
  <c r="D15" i="33"/>
  <c r="D16" i="33"/>
  <c r="D19" i="33"/>
  <c r="D22" i="33"/>
  <c r="G22" i="33" s="1"/>
  <c r="D21" i="33"/>
  <c r="D18" i="33"/>
  <c r="G18" i="33" s="1"/>
  <c r="D17" i="33"/>
  <c r="I26" i="33"/>
  <c r="F26" i="33"/>
  <c r="E26" i="33"/>
  <c r="C26" i="33"/>
  <c r="B26" i="33"/>
  <c r="G21" i="33"/>
  <c r="K20" i="33"/>
  <c r="G20" i="33"/>
  <c r="G19" i="33"/>
  <c r="G17" i="33"/>
  <c r="G16" i="33"/>
  <c r="G15" i="33"/>
  <c r="B5" i="33"/>
  <c r="K26" i="35" l="1"/>
  <c r="M26" i="35" s="1"/>
  <c r="L17" i="34"/>
  <c r="K17" i="34"/>
  <c r="M17" i="34" s="1"/>
  <c r="K16" i="34"/>
  <c r="L18" i="34"/>
  <c r="K18" i="34"/>
  <c r="M18" i="34" s="1"/>
  <c r="L22" i="34"/>
  <c r="K22" i="34"/>
  <c r="M22" i="34" s="1"/>
  <c r="L19" i="34"/>
  <c r="K19" i="34"/>
  <c r="M19" i="34" s="1"/>
  <c r="K21" i="34"/>
  <c r="M21" i="34" s="1"/>
  <c r="L21" i="34"/>
  <c r="G26" i="34"/>
  <c r="H15" i="34"/>
  <c r="H26" i="34" s="1"/>
  <c r="H15" i="33"/>
  <c r="H20" i="33"/>
  <c r="H16" i="33"/>
  <c r="J16" i="33" s="1"/>
  <c r="H17" i="33"/>
  <c r="J17" i="33" s="1"/>
  <c r="H18" i="33"/>
  <c r="J18" i="33" s="1"/>
  <c r="H21" i="33"/>
  <c r="J21" i="33"/>
  <c r="H22" i="33"/>
  <c r="J22" i="33" s="1"/>
  <c r="G26" i="33"/>
  <c r="H19" i="33"/>
  <c r="J19" i="33" s="1"/>
  <c r="D26" i="33"/>
  <c r="P17" i="32"/>
  <c r="P18" i="32"/>
  <c r="P19" i="32"/>
  <c r="P20" i="32"/>
  <c r="P21" i="32"/>
  <c r="P22" i="32"/>
  <c r="P15" i="32"/>
  <c r="P16" i="32"/>
  <c r="O16" i="32"/>
  <c r="O17" i="32"/>
  <c r="O18" i="32"/>
  <c r="O19" i="32"/>
  <c r="O20" i="32"/>
  <c r="O21" i="32"/>
  <c r="O22" i="32"/>
  <c r="O15" i="32"/>
  <c r="I26" i="32"/>
  <c r="F26" i="32"/>
  <c r="E26" i="32"/>
  <c r="C26" i="32"/>
  <c r="B26" i="32"/>
  <c r="G22" i="32"/>
  <c r="D22" i="32"/>
  <c r="D21" i="32"/>
  <c r="G21" i="32" s="1"/>
  <c r="K20" i="32"/>
  <c r="G20" i="32"/>
  <c r="H20" i="32" s="1"/>
  <c r="D19" i="32"/>
  <c r="G19" i="32" s="1"/>
  <c r="G18" i="32"/>
  <c r="D18" i="32"/>
  <c r="D17" i="32"/>
  <c r="G17" i="32" s="1"/>
  <c r="D16" i="32"/>
  <c r="G16" i="32" s="1"/>
  <c r="D15" i="32"/>
  <c r="G15" i="32" s="1"/>
  <c r="B7" i="32"/>
  <c r="B5" i="32"/>
  <c r="M16" i="34" l="1"/>
  <c r="K19" i="33"/>
  <c r="M19" i="33" s="1"/>
  <c r="L19" i="33"/>
  <c r="J26" i="33"/>
  <c r="L26" i="33" s="1"/>
  <c r="L16" i="33"/>
  <c r="K16" i="33"/>
  <c r="L22" i="33"/>
  <c r="K22" i="33"/>
  <c r="M22" i="33" s="1"/>
  <c r="L21" i="33"/>
  <c r="K21" i="33"/>
  <c r="M21" i="33" s="1"/>
  <c r="L18" i="33"/>
  <c r="K18" i="33"/>
  <c r="M18" i="33" s="1"/>
  <c r="L17" i="33"/>
  <c r="K17" i="33"/>
  <c r="M17" i="33" s="1"/>
  <c r="H26" i="33"/>
  <c r="H21" i="32"/>
  <c r="J21" i="32" s="1"/>
  <c r="G26" i="32"/>
  <c r="H15" i="32"/>
  <c r="H16" i="32"/>
  <c r="J16" i="32" s="1"/>
  <c r="H19" i="32"/>
  <c r="J19" i="32" s="1"/>
  <c r="H17" i="32"/>
  <c r="J17" i="32" s="1"/>
  <c r="D26" i="32"/>
  <c r="H18" i="32"/>
  <c r="J18" i="32" s="1"/>
  <c r="H22" i="32"/>
  <c r="J22" i="32" s="1"/>
  <c r="B7" i="31"/>
  <c r="D15" i="31"/>
  <c r="D16" i="31"/>
  <c r="D19" i="31"/>
  <c r="D22" i="31"/>
  <c r="D21" i="31"/>
  <c r="D18" i="31"/>
  <c r="D17" i="31"/>
  <c r="K26" i="33" l="1"/>
  <c r="M26" i="33" s="1"/>
  <c r="M16" i="33"/>
  <c r="H26" i="32"/>
  <c r="K18" i="32"/>
  <c r="M18" i="32" s="1"/>
  <c r="L18" i="32"/>
  <c r="L17" i="32"/>
  <c r="K17" i="32"/>
  <c r="M17" i="32" s="1"/>
  <c r="L21" i="32"/>
  <c r="K21" i="32"/>
  <c r="M21" i="32" s="1"/>
  <c r="K22" i="32"/>
  <c r="M22" i="32" s="1"/>
  <c r="L22" i="32"/>
  <c r="J26" i="32"/>
  <c r="L26" i="32" s="1"/>
  <c r="L16" i="32"/>
  <c r="K16" i="32"/>
  <c r="L19" i="32"/>
  <c r="K19" i="32"/>
  <c r="M19" i="32" s="1"/>
  <c r="I26" i="31"/>
  <c r="F26" i="31"/>
  <c r="E26" i="31"/>
  <c r="C26" i="31"/>
  <c r="B26" i="31"/>
  <c r="G22" i="31"/>
  <c r="G21" i="31"/>
  <c r="K20" i="31"/>
  <c r="G20" i="31"/>
  <c r="G19" i="31"/>
  <c r="G18" i="31"/>
  <c r="G17" i="31"/>
  <c r="G16" i="31"/>
  <c r="G15" i="31"/>
  <c r="D26" i="31"/>
  <c r="B5" i="31"/>
  <c r="K26" i="32" l="1"/>
  <c r="M26" i="32" s="1"/>
  <c r="M16" i="32"/>
  <c r="H20" i="31"/>
  <c r="G26" i="31"/>
  <c r="H16" i="31"/>
  <c r="J16" i="31" s="1"/>
  <c r="H22" i="31"/>
  <c r="J22" i="31" s="1"/>
  <c r="H18" i="31"/>
  <c r="J18" i="31" s="1"/>
  <c r="H21" i="31"/>
  <c r="J21" i="31" s="1"/>
  <c r="H17" i="31"/>
  <c r="J17" i="31" s="1"/>
  <c r="H19" i="31"/>
  <c r="J19" i="31" s="1"/>
  <c r="H15" i="31"/>
  <c r="K22" i="31" l="1"/>
  <c r="M22" i="31" s="1"/>
  <c r="L22" i="31"/>
  <c r="L18" i="31"/>
  <c r="K18" i="31"/>
  <c r="M18" i="31" s="1"/>
  <c r="L16" i="31"/>
  <c r="J26" i="31"/>
  <c r="L26" i="31" s="1"/>
  <c r="K16" i="31"/>
  <c r="K19" i="31"/>
  <c r="M19" i="31" s="1"/>
  <c r="L19" i="31"/>
  <c r="L21" i="31"/>
  <c r="K21" i="31"/>
  <c r="M21" i="31" s="1"/>
  <c r="H26" i="31"/>
  <c r="L17" i="31"/>
  <c r="K17" i="31"/>
  <c r="M17" i="31" s="1"/>
  <c r="M16" i="31" l="1"/>
  <c r="K26" i="31"/>
  <c r="M26" i="31" s="1"/>
</calcChain>
</file>

<file path=xl/sharedStrings.xml><?xml version="1.0" encoding="utf-8"?>
<sst xmlns="http://schemas.openxmlformats.org/spreadsheetml/2006/main" count="460" uniqueCount="53">
  <si>
    <t>Municipalidad</t>
  </si>
  <si>
    <t>Azul Networks</t>
  </si>
  <si>
    <t>Tecnovision</t>
  </si>
  <si>
    <t>Videotel</t>
  </si>
  <si>
    <t>Warinet</t>
  </si>
  <si>
    <t>Google</t>
  </si>
  <si>
    <t>Mb</t>
  </si>
  <si>
    <t>%</t>
  </si>
  <si>
    <t>Precio USD / Mb</t>
  </si>
  <si>
    <t>Capacidad disponible - Mb</t>
  </si>
  <si>
    <t>Reporte CABASE</t>
  </si>
  <si>
    <t>Contratación SYT</t>
  </si>
  <si>
    <t>Miembro</t>
  </si>
  <si>
    <t xml:space="preserve">Distribucion del transporte </t>
  </si>
  <si>
    <t>Tráfico tomado del IXP</t>
  </si>
  <si>
    <t>Capacidad a facturar</t>
  </si>
  <si>
    <t>Abono a facturar</t>
  </si>
  <si>
    <t>Precio equivalente</t>
  </si>
  <si>
    <t>USD</t>
  </si>
  <si>
    <t>USD / Mb</t>
  </si>
  <si>
    <t>TOTAL</t>
  </si>
  <si>
    <t>UNJU</t>
  </si>
  <si>
    <t>Capacidad contratada - Mb</t>
  </si>
  <si>
    <t>Capacidad Utilizada - Observium</t>
  </si>
  <si>
    <t>Abono contratado (USD)</t>
  </si>
  <si>
    <t>Observium</t>
  </si>
  <si>
    <t>Transporte Google</t>
  </si>
  <si>
    <t>95% Mb</t>
  </si>
  <si>
    <t>Transporte</t>
  </si>
  <si>
    <t>Transporte  total</t>
  </si>
  <si>
    <t>Mb pico</t>
  </si>
  <si>
    <t>Azul</t>
  </si>
  <si>
    <t>Transporte BUE JUJ</t>
  </si>
  <si>
    <t>Rendimiento IXP</t>
  </si>
  <si>
    <t>Cable Audio Vision</t>
  </si>
  <si>
    <t>CAV</t>
  </si>
  <si>
    <t>Transporte OCA</t>
  </si>
  <si>
    <t>OCA Netflix</t>
  </si>
  <si>
    <t>Capacidad a distribuir</t>
  </si>
  <si>
    <t>SYT</t>
  </si>
  <si>
    <t>FNA</t>
  </si>
  <si>
    <t>Transporte FNA</t>
  </si>
  <si>
    <t>Abono Junio - Consumos Mayo 2022 - Medición 23-04-2022 al 22-05-2022</t>
  </si>
  <si>
    <t>Facturacion Original</t>
  </si>
  <si>
    <t>Ajuste</t>
  </si>
  <si>
    <t>Abono Agosto - Consumos Julio 2022 - Medición 23-06-2022 al 22-07-2022</t>
  </si>
  <si>
    <t>Abono Setiembre - Consumos Agosto 2022 - Medición 23-07-2022 al 22-08-2022</t>
  </si>
  <si>
    <t>Abono Octubre - Consumos Setiembre 2022 - Medición 23-08-2022 al 22-09-2022</t>
  </si>
  <si>
    <t>BUE JUJ</t>
  </si>
  <si>
    <t>OCA</t>
  </si>
  <si>
    <t>Total</t>
  </si>
  <si>
    <t>Abono Noviembre - Consumos Oct 2022 - Medición 23-09-2022 al 22-10-2022</t>
  </si>
  <si>
    <t>Abono Diciembre - Consumos Nov 2022 - Medición 23-10-2022 al 22-11-2022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</si>
</sst>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/>
    <xf numFmtId="0" fontId="0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0" fillId="0" borderId="13" xfId="1" applyNumberFormat="1" applyFont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5" xfId="0" applyNumberFormat="1" applyFont="1" applyBorder="1"/>
    <xf numFmtId="164" fontId="0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164" fontId="4" fillId="2" borderId="1" xfId="1" applyNumberFormat="1" applyFont="1" applyFill="1" applyBorder="1" applyAlignment="1"/>
    <xf numFmtId="0" fontId="5" fillId="0" borderId="17" xfId="0" applyFont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164" fontId="0" fillId="2" borderId="13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2" borderId="25" xfId="1" applyNumberFormat="1" applyFont="1" applyFill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0" fontId="0" fillId="0" borderId="26" xfId="0" applyFont="1" applyBorder="1" applyAlignment="1">
      <alignment wrapText="1"/>
    </xf>
    <xf numFmtId="164" fontId="0" fillId="2" borderId="8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horizontal="right" wrapText="1"/>
    </xf>
    <xf numFmtId="164" fontId="0" fillId="2" borderId="18" xfId="1" applyNumberFormat="1" applyFont="1" applyFill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164" fontId="5" fillId="0" borderId="27" xfId="1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/>
    <xf numFmtId="164" fontId="0" fillId="2" borderId="28" xfId="1" applyNumberFormat="1" applyFont="1" applyFill="1" applyBorder="1" applyAlignment="1">
      <alignment horizontal="right" wrapText="1"/>
    </xf>
    <xf numFmtId="10" fontId="0" fillId="0" borderId="29" xfId="2" applyNumberFormat="1" applyFont="1" applyBorder="1" applyAlignment="1">
      <alignment horizontal="right" wrapText="1"/>
    </xf>
    <xf numFmtId="164" fontId="0" fillId="0" borderId="30" xfId="1" applyNumberFormat="1" applyFont="1" applyBorder="1" applyAlignment="1">
      <alignment horizontal="right" wrapText="1"/>
    </xf>
    <xf numFmtId="164" fontId="0" fillId="0" borderId="31" xfId="1" applyNumberFormat="1" applyFont="1" applyBorder="1" applyAlignment="1">
      <alignment horizontal="right" wrapText="1"/>
    </xf>
    <xf numFmtId="164" fontId="5" fillId="0" borderId="32" xfId="1" applyNumberFormat="1" applyFont="1" applyBorder="1" applyAlignment="1">
      <alignment horizontal="right" wrapText="1"/>
    </xf>
    <xf numFmtId="164" fontId="5" fillId="0" borderId="33" xfId="1" applyNumberFormat="1" applyFont="1" applyBorder="1" applyAlignment="1">
      <alignment horizontal="right" wrapText="1"/>
    </xf>
    <xf numFmtId="9" fontId="5" fillId="0" borderId="34" xfId="2" applyFont="1" applyBorder="1" applyAlignment="1">
      <alignment horizontal="right" wrapText="1"/>
    </xf>
    <xf numFmtId="9" fontId="5" fillId="0" borderId="33" xfId="2" applyFont="1" applyBorder="1" applyAlignment="1">
      <alignment horizontal="right" wrapText="1"/>
    </xf>
    <xf numFmtId="43" fontId="5" fillId="0" borderId="3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3" fontId="0" fillId="0" borderId="0" xfId="0" applyNumberFormat="1"/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/>
    <xf numFmtId="0" fontId="5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/>
    <xf numFmtId="9" fontId="4" fillId="0" borderId="1" xfId="2" applyFont="1" applyBorder="1" applyAlignment="1">
      <alignment horizontal="right" wrapText="1"/>
    </xf>
    <xf numFmtId="43" fontId="4" fillId="0" borderId="9" xfId="0" applyNumberFormat="1" applyFont="1" applyBorder="1"/>
    <xf numFmtId="9" fontId="5" fillId="0" borderId="35" xfId="2" applyFont="1" applyBorder="1" applyAlignment="1">
      <alignment horizontal="right" wrapText="1"/>
    </xf>
    <xf numFmtId="43" fontId="5" fillId="0" borderId="36" xfId="0" applyNumberFormat="1" applyFont="1" applyBorder="1" applyAlignment="1">
      <alignment horizontal="right"/>
    </xf>
    <xf numFmtId="9" fontId="5" fillId="0" borderId="1" xfId="2" applyFont="1" applyBorder="1" applyAlignment="1">
      <alignment horizontal="right" wrapText="1"/>
    </xf>
    <xf numFmtId="43" fontId="5" fillId="0" borderId="9" xfId="0" applyNumberFormat="1" applyFont="1" applyBorder="1" applyAlignment="1">
      <alignment horizontal="right"/>
    </xf>
    <xf numFmtId="164" fontId="0" fillId="2" borderId="31" xfId="1" applyNumberFormat="1" applyFont="1" applyFill="1" applyBorder="1" applyAlignment="1">
      <alignment horizontal="right" wrapText="1"/>
    </xf>
    <xf numFmtId="164" fontId="0" fillId="2" borderId="37" xfId="1" applyNumberFormat="1" applyFont="1" applyFill="1" applyBorder="1" applyAlignment="1">
      <alignment horizontal="right" wrapText="1"/>
    </xf>
    <xf numFmtId="10" fontId="0" fillId="0" borderId="9" xfId="2" applyNumberFormat="1" applyFont="1" applyBorder="1" applyAlignment="1">
      <alignment horizontal="right" wrapText="1"/>
    </xf>
    <xf numFmtId="164" fontId="0" fillId="0" borderId="8" xfId="1" applyNumberFormat="1" applyFont="1" applyBorder="1" applyAlignment="1">
      <alignment horizontal="right" wrapText="1"/>
    </xf>
    <xf numFmtId="165" fontId="0" fillId="0" borderId="15" xfId="2" applyNumberFormat="1" applyFont="1" applyBorder="1" applyAlignment="1">
      <alignment horizontal="right" wrapText="1"/>
    </xf>
    <xf numFmtId="164" fontId="4" fillId="0" borderId="0" xfId="1" applyNumberFormat="1" applyFont="1" applyFill="1" applyBorder="1" applyAlignment="1"/>
    <xf numFmtId="0" fontId="5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wrapText="1"/>
    </xf>
    <xf numFmtId="164" fontId="0" fillId="2" borderId="41" xfId="1" applyNumberFormat="1" applyFont="1" applyFill="1" applyBorder="1" applyAlignment="1">
      <alignment horizontal="right" wrapText="1"/>
    </xf>
    <xf numFmtId="164" fontId="0" fillId="2" borderId="39" xfId="1" applyNumberFormat="1" applyFont="1" applyFill="1" applyBorder="1" applyAlignment="1">
      <alignment horizontal="right" wrapText="1"/>
    </xf>
    <xf numFmtId="164" fontId="0" fillId="2" borderId="42" xfId="1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43" fontId="0" fillId="0" borderId="1" xfId="1" applyFont="1" applyBorder="1"/>
    <xf numFmtId="164" fontId="4" fillId="0" borderId="0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9" fontId="5" fillId="0" borderId="5" xfId="2" applyFont="1" applyBorder="1" applyAlignment="1">
      <alignment horizontal="center"/>
    </xf>
    <xf numFmtId="9" fontId="5" fillId="0" borderId="38" xfId="2" applyFont="1" applyBorder="1" applyAlignment="1">
      <alignment horizontal="center"/>
    </xf>
    <xf numFmtId="9" fontId="5" fillId="0" borderId="6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3" Type="http://schemas.openxmlformats.org/officeDocument/2006/relationships/image" Target="../media/image30.png"/><Relationship Id="rId7" Type="http://schemas.openxmlformats.org/officeDocument/2006/relationships/image" Target="../media/image34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10" Type="http://schemas.openxmlformats.org/officeDocument/2006/relationships/image" Target="../media/image37.png"/><Relationship Id="rId4" Type="http://schemas.openxmlformats.org/officeDocument/2006/relationships/image" Target="../media/image31.png"/><Relationship Id="rId9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354038</xdr:colOff>
      <xdr:row>49</xdr:row>
      <xdr:rowOff>105295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10300"/>
          <a:ext cx="11555438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14</xdr:col>
      <xdr:colOff>325459</xdr:colOff>
      <xdr:row>70</xdr:row>
      <xdr:rowOff>95768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10800"/>
          <a:ext cx="11526859" cy="3715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49238</xdr:colOff>
      <xdr:row>49</xdr:row>
      <xdr:rowOff>105295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10300"/>
          <a:ext cx="11555438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15</xdr:col>
      <xdr:colOff>20659</xdr:colOff>
      <xdr:row>70</xdr:row>
      <xdr:rowOff>95768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10800"/>
          <a:ext cx="11526859" cy="3715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170</xdr:row>
      <xdr:rowOff>0</xdr:rowOff>
    </xdr:from>
    <xdr:to>
      <xdr:col>14</xdr:col>
      <xdr:colOff>354043</xdr:colOff>
      <xdr:row>189</xdr:row>
      <xdr:rowOff>105295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882417"/>
          <a:ext cx="11593543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334985</xdr:colOff>
      <xdr:row>213</xdr:row>
      <xdr:rowOff>76716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52300"/>
          <a:ext cx="1153638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14</xdr:col>
      <xdr:colOff>363564</xdr:colOff>
      <xdr:row>236</xdr:row>
      <xdr:rowOff>114821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833800"/>
          <a:ext cx="11564964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14</xdr:col>
      <xdr:colOff>354038</xdr:colOff>
      <xdr:row>49</xdr:row>
      <xdr:rowOff>67189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210300"/>
          <a:ext cx="11555438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14</xdr:col>
      <xdr:colOff>325459</xdr:colOff>
      <xdr:row>70</xdr:row>
      <xdr:rowOff>67189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210800"/>
          <a:ext cx="11526859" cy="36866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14</xdr:col>
      <xdr:colOff>315938</xdr:colOff>
      <xdr:row>94</xdr:row>
      <xdr:rowOff>124347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84917"/>
          <a:ext cx="11555438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14</xdr:col>
      <xdr:colOff>334990</xdr:colOff>
      <xdr:row>189</xdr:row>
      <xdr:rowOff>57663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882417"/>
          <a:ext cx="11574490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325464</xdr:colOff>
      <xdr:row>213</xdr:row>
      <xdr:rowOff>105295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454417"/>
          <a:ext cx="11564964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14</xdr:col>
      <xdr:colOff>306411</xdr:colOff>
      <xdr:row>236</xdr:row>
      <xdr:rowOff>86242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835917"/>
          <a:ext cx="11545911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14</xdr:col>
      <xdr:colOff>296885</xdr:colOff>
      <xdr:row>165</xdr:row>
      <xdr:rowOff>95768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310417"/>
          <a:ext cx="11536385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14</xdr:col>
      <xdr:colOff>306411</xdr:colOff>
      <xdr:row>259</xdr:row>
      <xdr:rowOff>143400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6217417"/>
          <a:ext cx="11545911" cy="376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296885</xdr:colOff>
      <xdr:row>118</xdr:row>
      <xdr:rowOff>114821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9356917"/>
          <a:ext cx="11536385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14</xdr:col>
      <xdr:colOff>334990</xdr:colOff>
      <xdr:row>141</xdr:row>
      <xdr:rowOff>114821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3738417"/>
          <a:ext cx="11574490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14</xdr:col>
      <xdr:colOff>344511</xdr:colOff>
      <xdr:row>49</xdr:row>
      <xdr:rowOff>95768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210300"/>
          <a:ext cx="11545911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334985</xdr:colOff>
      <xdr:row>71</xdr:row>
      <xdr:rowOff>86242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401300"/>
          <a:ext cx="11536385" cy="3705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16</xdr:col>
      <xdr:colOff>598625</xdr:colOff>
      <xdr:row>94</xdr:row>
      <xdr:rowOff>123357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82800"/>
          <a:ext cx="11600000" cy="3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16</xdr:col>
      <xdr:colOff>570053</xdr:colOff>
      <xdr:row>189</xdr:row>
      <xdr:rowOff>85262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880300"/>
          <a:ext cx="11571428" cy="3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16</xdr:col>
      <xdr:colOff>544536</xdr:colOff>
      <xdr:row>213</xdr:row>
      <xdr:rowOff>57663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452300"/>
          <a:ext cx="11545911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16</xdr:col>
      <xdr:colOff>554063</xdr:colOff>
      <xdr:row>236</xdr:row>
      <xdr:rowOff>95768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833800"/>
          <a:ext cx="11555438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16</xdr:col>
      <xdr:colOff>592168</xdr:colOff>
      <xdr:row>165</xdr:row>
      <xdr:rowOff>114821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308300"/>
          <a:ext cx="11593543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16</xdr:col>
      <xdr:colOff>525484</xdr:colOff>
      <xdr:row>259</xdr:row>
      <xdr:rowOff>114821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6215300"/>
          <a:ext cx="11526859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16</xdr:col>
      <xdr:colOff>525484</xdr:colOff>
      <xdr:row>118</xdr:row>
      <xdr:rowOff>143400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9354800"/>
          <a:ext cx="11526859" cy="376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16</xdr:col>
      <xdr:colOff>554063</xdr:colOff>
      <xdr:row>141</xdr:row>
      <xdr:rowOff>95768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3736300"/>
          <a:ext cx="11555438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16</xdr:col>
      <xdr:colOff>601694</xdr:colOff>
      <xdr:row>49</xdr:row>
      <xdr:rowOff>114821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210300"/>
          <a:ext cx="11603069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16</xdr:col>
      <xdr:colOff>515957</xdr:colOff>
      <xdr:row>70</xdr:row>
      <xdr:rowOff>152926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210800"/>
          <a:ext cx="11517332" cy="37724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16</xdr:col>
      <xdr:colOff>544536</xdr:colOff>
      <xdr:row>94</xdr:row>
      <xdr:rowOff>105295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82800"/>
          <a:ext cx="11545911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16</xdr:col>
      <xdr:colOff>563589</xdr:colOff>
      <xdr:row>189</xdr:row>
      <xdr:rowOff>57663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880300"/>
          <a:ext cx="11564964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16</xdr:col>
      <xdr:colOff>535010</xdr:colOff>
      <xdr:row>213</xdr:row>
      <xdr:rowOff>114821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452300"/>
          <a:ext cx="11536385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16</xdr:col>
      <xdr:colOff>525484</xdr:colOff>
      <xdr:row>236</xdr:row>
      <xdr:rowOff>67189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833800"/>
          <a:ext cx="11526859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16</xdr:col>
      <xdr:colOff>582642</xdr:colOff>
      <xdr:row>165</xdr:row>
      <xdr:rowOff>76716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308300"/>
          <a:ext cx="11584017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16</xdr:col>
      <xdr:colOff>554063</xdr:colOff>
      <xdr:row>259</xdr:row>
      <xdr:rowOff>86242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6215300"/>
          <a:ext cx="11555438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16</xdr:col>
      <xdr:colOff>544536</xdr:colOff>
      <xdr:row>118</xdr:row>
      <xdr:rowOff>76716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9354800"/>
          <a:ext cx="11545911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16</xdr:col>
      <xdr:colOff>601694</xdr:colOff>
      <xdr:row>141</xdr:row>
      <xdr:rowOff>114821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3736300"/>
          <a:ext cx="11603069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16</xdr:col>
      <xdr:colOff>573115</xdr:colOff>
      <xdr:row>49</xdr:row>
      <xdr:rowOff>114821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210300"/>
          <a:ext cx="11574490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16</xdr:col>
      <xdr:colOff>515957</xdr:colOff>
      <xdr:row>71</xdr:row>
      <xdr:rowOff>95768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401300"/>
          <a:ext cx="11517332" cy="371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zoomScaleNormal="100" workbookViewId="0">
      <selection activeCell="A2" sqref="A2:M3"/>
    </sheetView>
  </sheetViews>
  <sheetFormatPr defaultRowHeight="15" x14ac:dyDescent="0.25"/>
  <cols>
    <col min="1" max="1" width="30.140625" bestFit="1" customWidth="1"/>
    <col min="2" max="2" width="10.5703125" bestFit="1" customWidth="1"/>
    <col min="3" max="3" width="10.5703125" customWidth="1"/>
    <col min="4" max="4" width="10.5703125" bestFit="1" customWidth="1"/>
    <col min="5" max="6" width="10.5703125" customWidth="1"/>
    <col min="7" max="7" width="10.5703125" bestFit="1" customWidth="1"/>
    <col min="8" max="8" width="11.7109375" bestFit="1" customWidth="1"/>
    <col min="9" max="9" width="10.7109375" bestFit="1" customWidth="1"/>
    <col min="10" max="10" width="10.5703125" bestFit="1" customWidth="1"/>
    <col min="11" max="11" width="8.28515625" bestFit="1" customWidth="1"/>
    <col min="12" max="12" width="12.5703125" bestFit="1" customWidth="1"/>
    <col min="13" max="13" width="11.42578125" customWidth="1"/>
    <col min="14" max="14" width="9.140625" customWidth="1"/>
    <col min="15" max="15" width="11.140625" bestFit="1" customWidth="1"/>
    <col min="16" max="16" width="10.5703125" bestFit="1" customWidth="1"/>
  </cols>
  <sheetData>
    <row r="1" spans="1:18" ht="15.75" thickBot="1" x14ac:dyDescent="0.3"/>
    <row r="2" spans="1:18" ht="19.5" thickBot="1" x14ac:dyDescent="0.35">
      <c r="A2" s="80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18" x14ac:dyDescent="0.25">
      <c r="N3" s="39"/>
      <c r="O3" s="39"/>
    </row>
    <row r="4" spans="1:18" x14ac:dyDescent="0.25">
      <c r="A4" s="20" t="s">
        <v>8</v>
      </c>
      <c r="B4" s="21">
        <v>2.8</v>
      </c>
      <c r="C4" s="3"/>
      <c r="D4" s="3"/>
      <c r="E4" s="3"/>
      <c r="F4" s="3"/>
      <c r="H4" s="2"/>
      <c r="I4" s="39"/>
      <c r="J4" s="39"/>
      <c r="K4" s="3"/>
      <c r="L4" s="3"/>
      <c r="M4" s="3"/>
      <c r="N4" s="39"/>
      <c r="O4" s="39"/>
    </row>
    <row r="5" spans="1:18" x14ac:dyDescent="0.25">
      <c r="A5" s="20" t="s">
        <v>22</v>
      </c>
      <c r="B5" s="22">
        <f>12*1024</f>
        <v>12288</v>
      </c>
      <c r="C5" s="3"/>
      <c r="D5" s="3"/>
      <c r="E5" s="3"/>
      <c r="F5" s="3"/>
      <c r="H5" s="2"/>
      <c r="I5" s="39"/>
      <c r="J5" s="39"/>
      <c r="K5" s="6"/>
      <c r="L5" s="6"/>
      <c r="M5" s="6"/>
      <c r="N5" s="39"/>
      <c r="O5" s="39"/>
    </row>
    <row r="6" spans="1:18" x14ac:dyDescent="0.25">
      <c r="A6" s="20"/>
      <c r="B6" s="22"/>
      <c r="C6" s="3"/>
      <c r="D6" s="3"/>
      <c r="E6" s="3"/>
      <c r="F6" s="3"/>
      <c r="I6" s="39"/>
      <c r="J6" s="39"/>
      <c r="K6" s="6"/>
      <c r="L6" s="6"/>
      <c r="M6" s="6"/>
      <c r="N6" s="39"/>
      <c r="O6" s="39"/>
      <c r="P6" s="2"/>
      <c r="Q6" s="4"/>
      <c r="R6" s="4"/>
    </row>
    <row r="7" spans="1:18" x14ac:dyDescent="0.25">
      <c r="A7" s="20" t="s">
        <v>23</v>
      </c>
      <c r="B7" s="22">
        <f>5920+5070</f>
        <v>10990</v>
      </c>
      <c r="C7" s="3"/>
      <c r="D7" s="3"/>
      <c r="E7" s="3"/>
      <c r="F7" s="3"/>
      <c r="G7" s="40"/>
      <c r="H7" s="2"/>
      <c r="I7" s="39"/>
      <c r="J7" s="39"/>
      <c r="K7" s="6"/>
      <c r="L7" s="6"/>
      <c r="M7" s="6"/>
      <c r="N7" s="39"/>
      <c r="O7" s="39"/>
      <c r="P7" s="5"/>
      <c r="Q7" s="4"/>
      <c r="R7" s="4"/>
    </row>
    <row r="8" spans="1:18" x14ac:dyDescent="0.25">
      <c r="A8" s="20" t="s">
        <v>24</v>
      </c>
      <c r="B8" s="22">
        <v>25200</v>
      </c>
      <c r="C8" s="3"/>
      <c r="D8" s="3"/>
      <c r="E8" s="3"/>
      <c r="F8" s="3"/>
      <c r="H8" s="2"/>
      <c r="I8" s="39"/>
      <c r="J8" s="39"/>
      <c r="K8" s="6"/>
      <c r="L8" s="6"/>
      <c r="M8" s="6"/>
      <c r="O8" s="39"/>
    </row>
    <row r="9" spans="1:18" x14ac:dyDescent="0.25">
      <c r="A9" s="20" t="s">
        <v>38</v>
      </c>
      <c r="B9" s="56"/>
      <c r="C9" s="68"/>
      <c r="D9" s="3"/>
      <c r="E9" s="3"/>
      <c r="F9" s="3"/>
      <c r="H9" s="2"/>
      <c r="I9" s="39"/>
      <c r="J9" s="39"/>
      <c r="K9" s="6"/>
      <c r="L9" s="6"/>
      <c r="M9" s="6"/>
      <c r="O9" s="39"/>
    </row>
    <row r="10" spans="1:18" x14ac:dyDescent="0.25">
      <c r="A10" s="20"/>
      <c r="B10" s="56"/>
      <c r="C10" s="68"/>
      <c r="D10" s="4"/>
      <c r="E10" s="4"/>
      <c r="F10" s="4"/>
      <c r="G10" s="4"/>
      <c r="H10" s="4"/>
      <c r="I10" s="4"/>
      <c r="J10" s="39"/>
      <c r="K10" s="4"/>
      <c r="L10" s="4"/>
      <c r="M10" s="4"/>
      <c r="O10" s="39"/>
    </row>
    <row r="11" spans="1:18" ht="15.75" thickBot="1" x14ac:dyDescent="0.3">
      <c r="A11" s="38"/>
      <c r="B11" s="38"/>
      <c r="C11" s="38"/>
      <c r="D11" s="38"/>
      <c r="E11" s="38"/>
      <c r="F11" s="38"/>
      <c r="G11" s="4"/>
      <c r="H11" s="4"/>
      <c r="I11" s="4"/>
      <c r="J11" s="4"/>
      <c r="K11" s="4"/>
      <c r="L11" s="4"/>
      <c r="M11" s="4"/>
      <c r="O11" s="39"/>
      <c r="P11" s="39"/>
      <c r="R11" s="39"/>
    </row>
    <row r="12" spans="1:18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6"/>
      <c r="I12" s="23" t="s">
        <v>25</v>
      </c>
      <c r="J12" s="87" t="s">
        <v>11</v>
      </c>
      <c r="K12" s="88"/>
      <c r="L12" s="88"/>
      <c r="M12" s="89"/>
      <c r="O12" s="39"/>
      <c r="P12" s="39"/>
      <c r="R12" s="39"/>
    </row>
    <row r="13" spans="1:18" ht="45" x14ac:dyDescent="0.25">
      <c r="A13" s="90" t="s">
        <v>12</v>
      </c>
      <c r="B13" s="8" t="s">
        <v>32</v>
      </c>
      <c r="C13" s="69" t="s">
        <v>32</v>
      </c>
      <c r="D13" s="55" t="s">
        <v>26</v>
      </c>
      <c r="E13" s="55" t="s">
        <v>36</v>
      </c>
      <c r="F13" s="55" t="s">
        <v>41</v>
      </c>
      <c r="G13" s="55" t="s">
        <v>29</v>
      </c>
      <c r="H13" s="9" t="s">
        <v>13</v>
      </c>
      <c r="I13" s="24" t="s">
        <v>14</v>
      </c>
      <c r="J13" s="8" t="s">
        <v>15</v>
      </c>
      <c r="K13" s="55" t="s">
        <v>16</v>
      </c>
      <c r="L13" s="55" t="s">
        <v>33</v>
      </c>
      <c r="M13" s="10" t="s">
        <v>17</v>
      </c>
      <c r="O13" s="39"/>
      <c r="P13" s="39"/>
      <c r="R13" s="39"/>
    </row>
    <row r="14" spans="1:18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6</v>
      </c>
      <c r="H14" s="13" t="s">
        <v>7</v>
      </c>
      <c r="I14" s="25" t="s">
        <v>30</v>
      </c>
      <c r="J14" s="11" t="s">
        <v>6</v>
      </c>
      <c r="K14" s="12" t="s">
        <v>18</v>
      </c>
      <c r="L14" s="12" t="s">
        <v>7</v>
      </c>
      <c r="M14" s="14" t="s">
        <v>19</v>
      </c>
      <c r="N14" s="39"/>
      <c r="O14" s="39"/>
      <c r="P14" s="39"/>
      <c r="R14" s="39"/>
    </row>
    <row r="15" spans="1:18" x14ac:dyDescent="0.25">
      <c r="A15" s="1" t="s">
        <v>0</v>
      </c>
      <c r="B15" s="26">
        <v>27.2</v>
      </c>
      <c r="C15" s="71">
        <v>31.1</v>
      </c>
      <c r="D15" s="27">
        <f>6.3+6.8</f>
        <v>13.1</v>
      </c>
      <c r="E15" s="27"/>
      <c r="F15" s="27">
        <v>17.2</v>
      </c>
      <c r="G15" s="16">
        <f>SUM(B15:F15)</f>
        <v>88.6</v>
      </c>
      <c r="H15" s="67">
        <f>+G15/($B$26+$C$26)</f>
        <v>1.0045123693340286E-2</v>
      </c>
      <c r="I15" s="29">
        <v>250.03</v>
      </c>
      <c r="J15" s="15">
        <v>180</v>
      </c>
      <c r="K15" s="16">
        <v>468</v>
      </c>
      <c r="L15" s="30"/>
      <c r="M15" s="17"/>
      <c r="N15" s="39"/>
      <c r="O15" s="39"/>
      <c r="P15" s="52"/>
      <c r="R15" s="39"/>
    </row>
    <row r="16" spans="1:18" x14ac:dyDescent="0.25">
      <c r="A16" s="1" t="s">
        <v>1</v>
      </c>
      <c r="B16" s="32">
        <v>159.6</v>
      </c>
      <c r="C16" s="72">
        <v>176.3</v>
      </c>
      <c r="D16" s="33">
        <f>24.5+26.5</f>
        <v>51</v>
      </c>
      <c r="E16" s="33">
        <v>39.1</v>
      </c>
      <c r="F16" s="27">
        <v>75.3</v>
      </c>
      <c r="G16" s="16">
        <f t="shared" ref="G16:G22" si="0">SUM(B16:F16)</f>
        <v>501.3</v>
      </c>
      <c r="H16" s="67">
        <f t="shared" ref="H16:H22" si="1">+G16/($B$26+$C$26)</f>
        <v>5.6835445908256045E-2</v>
      </c>
      <c r="I16" s="34">
        <v>1560</v>
      </c>
      <c r="J16" s="15">
        <f>+G16+$B$9*H16</f>
        <v>501.3</v>
      </c>
      <c r="K16" s="16">
        <f t="shared" ref="K16:K22" si="2">+J16*$B$4</f>
        <v>1403.6399999999999</v>
      </c>
      <c r="L16" s="30">
        <f t="shared" ref="L16" si="3">+(I16-J16)/J16</f>
        <v>2.1119090365050868</v>
      </c>
      <c r="M16" s="17">
        <f>+K16/I16</f>
        <v>0.89976923076923065</v>
      </c>
      <c r="N16" s="39"/>
      <c r="O16" s="39"/>
      <c r="P16" s="53"/>
    </row>
    <row r="17" spans="1:17" x14ac:dyDescent="0.25">
      <c r="A17" s="1" t="s">
        <v>2</v>
      </c>
      <c r="B17" s="32">
        <v>921.9</v>
      </c>
      <c r="C17" s="72">
        <v>1035.5999999999999</v>
      </c>
      <c r="D17" s="33">
        <f>145.3+156.7</f>
        <v>302</v>
      </c>
      <c r="E17" s="33">
        <v>128.1</v>
      </c>
      <c r="F17" s="27">
        <v>447.1</v>
      </c>
      <c r="G17" s="16">
        <f t="shared" si="0"/>
        <v>2834.7</v>
      </c>
      <c r="H17" s="67">
        <f t="shared" si="1"/>
        <v>0.32138727012992896</v>
      </c>
      <c r="I17" s="34">
        <v>6100</v>
      </c>
      <c r="J17" s="15">
        <f>+G17+$B$9*H17</f>
        <v>2834.7</v>
      </c>
      <c r="K17" s="16">
        <f t="shared" si="2"/>
        <v>7937.1599999999989</v>
      </c>
      <c r="L17" s="30">
        <f>+(I17-J17)/J17</f>
        <v>1.1519031996331184</v>
      </c>
      <c r="M17" s="17">
        <f t="shared" ref="M17:M18" si="4">+K17/I17</f>
        <v>1.3011737704918032</v>
      </c>
      <c r="N17" s="39"/>
      <c r="O17" s="39"/>
      <c r="P17" s="52"/>
    </row>
    <row r="18" spans="1:17" x14ac:dyDescent="0.25">
      <c r="A18" s="1" t="s">
        <v>3</v>
      </c>
      <c r="B18" s="32">
        <v>1254.7</v>
      </c>
      <c r="C18" s="33">
        <v>1347.8</v>
      </c>
      <c r="D18" s="33">
        <f>135.5+146.1</f>
        <v>281.60000000000002</v>
      </c>
      <c r="E18" s="33">
        <v>164.3</v>
      </c>
      <c r="F18" s="27">
        <v>1.5</v>
      </c>
      <c r="G18" s="16">
        <f t="shared" si="0"/>
        <v>3049.9</v>
      </c>
      <c r="H18" s="67">
        <f t="shared" si="1"/>
        <v>0.34578580984558172</v>
      </c>
      <c r="I18" s="34">
        <v>7190</v>
      </c>
      <c r="J18" s="15">
        <f>+G18+$B$9*H18</f>
        <v>3049.9</v>
      </c>
      <c r="K18" s="16">
        <f t="shared" si="2"/>
        <v>8539.7199999999993</v>
      </c>
      <c r="L18" s="30">
        <f t="shared" ref="L18:L19" si="5">+(I18-J18)/J18</f>
        <v>1.3574543427653367</v>
      </c>
      <c r="M18" s="17">
        <f t="shared" si="4"/>
        <v>1.1877218358831709</v>
      </c>
      <c r="N18" s="39"/>
      <c r="O18" s="39"/>
      <c r="P18" s="52"/>
    </row>
    <row r="19" spans="1:17" x14ac:dyDescent="0.25">
      <c r="A19" s="1" t="s">
        <v>4</v>
      </c>
      <c r="B19" s="32">
        <v>188.6</v>
      </c>
      <c r="C19" s="33">
        <v>208.1</v>
      </c>
      <c r="D19" s="33">
        <f>27+29.1</f>
        <v>56.1</v>
      </c>
      <c r="E19" s="33">
        <v>19.3</v>
      </c>
      <c r="F19" s="27">
        <v>95.5</v>
      </c>
      <c r="G19" s="16">
        <f t="shared" si="0"/>
        <v>567.6</v>
      </c>
      <c r="H19" s="67">
        <f t="shared" si="1"/>
        <v>6.4352282261173219E-2</v>
      </c>
      <c r="I19" s="34">
        <v>1270</v>
      </c>
      <c r="J19" s="15">
        <f>+G19+$B$9*H19</f>
        <v>567.6</v>
      </c>
      <c r="K19" s="16">
        <f t="shared" si="2"/>
        <v>1589.28</v>
      </c>
      <c r="L19" s="30">
        <f t="shared" si="5"/>
        <v>1.2374911909795629</v>
      </c>
      <c r="M19" s="17">
        <f>+K19/I19</f>
        <v>1.2514015748031495</v>
      </c>
      <c r="N19" s="39"/>
      <c r="O19" s="39"/>
      <c r="P19" s="54"/>
    </row>
    <row r="20" spans="1:17" x14ac:dyDescent="0.25">
      <c r="A20" s="1" t="s">
        <v>21</v>
      </c>
      <c r="B20" s="32">
        <v>11.1</v>
      </c>
      <c r="C20" s="33">
        <v>14.1</v>
      </c>
      <c r="D20" s="33">
        <v>2.1</v>
      </c>
      <c r="E20" s="33">
        <v>0.8</v>
      </c>
      <c r="F20" s="27">
        <v>7.7</v>
      </c>
      <c r="G20" s="16">
        <f t="shared" si="0"/>
        <v>35.800000000000004</v>
      </c>
      <c r="H20" s="67">
        <f t="shared" si="1"/>
        <v>4.0588648783474301E-3</v>
      </c>
      <c r="I20" s="34">
        <v>115.61</v>
      </c>
      <c r="J20" s="15">
        <v>100</v>
      </c>
      <c r="K20" s="16">
        <f t="shared" si="2"/>
        <v>280</v>
      </c>
      <c r="L20" s="30"/>
      <c r="M20" s="17"/>
      <c r="N20" s="39"/>
      <c r="O20" s="39"/>
      <c r="P20" s="52"/>
    </row>
    <row r="21" spans="1:17" x14ac:dyDescent="0.25">
      <c r="A21" s="31" t="s">
        <v>35</v>
      </c>
      <c r="B21" s="32">
        <v>331.2</v>
      </c>
      <c r="C21" s="33">
        <v>372.7</v>
      </c>
      <c r="D21" s="33">
        <f>63.5+68.5</f>
        <v>132</v>
      </c>
      <c r="E21" s="33">
        <v>76.900000000000006</v>
      </c>
      <c r="F21" s="27">
        <v>182.6</v>
      </c>
      <c r="G21" s="16">
        <f t="shared" si="0"/>
        <v>1095.3999999999999</v>
      </c>
      <c r="H21" s="67">
        <f>+G21/($B$26+$C$26)</f>
        <v>0.1241921951883177</v>
      </c>
      <c r="I21" s="34">
        <v>2650</v>
      </c>
      <c r="J21" s="15">
        <f>+G21+$B$9*H21</f>
        <v>1095.3999999999999</v>
      </c>
      <c r="K21" s="16">
        <f t="shared" si="2"/>
        <v>3067.1199999999994</v>
      </c>
      <c r="L21" s="30">
        <f t="shared" ref="L21:L22" si="6">+(I21-J21)/J21</f>
        <v>1.4192075953989414</v>
      </c>
      <c r="M21" s="17">
        <f t="shared" ref="M21:M22" si="7">+K21/I21</f>
        <v>1.1574037735849054</v>
      </c>
      <c r="N21" s="39"/>
      <c r="O21" s="39"/>
      <c r="P21" s="54"/>
    </row>
    <row r="22" spans="1:17" x14ac:dyDescent="0.25">
      <c r="A22" s="31" t="s">
        <v>39</v>
      </c>
      <c r="B22" s="32">
        <v>188.5</v>
      </c>
      <c r="C22" s="33">
        <v>212.3</v>
      </c>
      <c r="D22" s="33">
        <f>45.1+48.7</f>
        <v>93.800000000000011</v>
      </c>
      <c r="E22" s="33">
        <v>39</v>
      </c>
      <c r="F22" s="27">
        <v>111.8</v>
      </c>
      <c r="G22" s="16">
        <f t="shared" si="0"/>
        <v>645.4</v>
      </c>
      <c r="H22" s="67">
        <f t="shared" si="1"/>
        <v>7.3172943924174047E-2</v>
      </c>
      <c r="I22" s="34">
        <v>1720</v>
      </c>
      <c r="J22" s="15">
        <f>+G22+$B$9*H22</f>
        <v>645.4</v>
      </c>
      <c r="K22" s="16">
        <f t="shared" si="2"/>
        <v>1807.12</v>
      </c>
      <c r="L22" s="30">
        <f t="shared" si="6"/>
        <v>1.6650139448404089</v>
      </c>
      <c r="M22" s="17">
        <f t="shared" si="7"/>
        <v>1.0506511627906976</v>
      </c>
      <c r="N22" s="39"/>
      <c r="O22" s="39"/>
      <c r="P22" s="54"/>
    </row>
    <row r="23" spans="1:17" x14ac:dyDescent="0.25">
      <c r="A23" s="31" t="s">
        <v>5</v>
      </c>
      <c r="B23" s="32">
        <v>449</v>
      </c>
      <c r="C23" s="33">
        <v>484.2</v>
      </c>
      <c r="D23" s="33"/>
      <c r="E23" s="33"/>
      <c r="F23" s="27"/>
      <c r="G23" s="16"/>
      <c r="H23" s="28"/>
      <c r="I23" s="34"/>
      <c r="J23" s="15"/>
      <c r="K23" s="16"/>
      <c r="L23" s="57"/>
      <c r="M23" s="58"/>
      <c r="N23" s="39"/>
      <c r="O23" s="39"/>
      <c r="P23" s="54"/>
    </row>
    <row r="24" spans="1:17" x14ac:dyDescent="0.25">
      <c r="A24" s="19" t="s">
        <v>37</v>
      </c>
      <c r="B24" s="41">
        <v>467.6</v>
      </c>
      <c r="C24" s="33"/>
      <c r="D24" s="33"/>
      <c r="E24" s="33"/>
      <c r="F24" s="33"/>
      <c r="G24" s="18"/>
      <c r="H24" s="65"/>
      <c r="I24" s="34"/>
      <c r="J24" s="66"/>
      <c r="K24" s="18"/>
      <c r="L24" s="61"/>
      <c r="M24" s="62"/>
      <c r="N24" s="39"/>
      <c r="O24" s="39"/>
      <c r="P24" s="39"/>
    </row>
    <row r="25" spans="1:17" ht="15.75" thickBot="1" x14ac:dyDescent="0.3">
      <c r="A25" s="19" t="s">
        <v>40</v>
      </c>
      <c r="B25" s="41">
        <v>938.6</v>
      </c>
      <c r="C25" s="73"/>
      <c r="D25" s="63"/>
      <c r="E25" s="63"/>
      <c r="F25" s="63"/>
      <c r="G25" s="44"/>
      <c r="H25" s="42"/>
      <c r="I25" s="64"/>
      <c r="J25" s="43"/>
      <c r="K25" s="44"/>
      <c r="L25" s="59"/>
      <c r="M25" s="60"/>
      <c r="N25" s="39"/>
      <c r="O25" s="39"/>
      <c r="P25" s="39"/>
    </row>
    <row r="26" spans="1:17" s="37" customFormat="1" ht="15.75" thickBot="1" x14ac:dyDescent="0.3">
      <c r="A26" s="35" t="s">
        <v>20</v>
      </c>
      <c r="B26" s="45">
        <f>SUM(B15:B25)</f>
        <v>4938</v>
      </c>
      <c r="C26" s="46">
        <f t="shared" ref="C26:E26" si="8">SUM(C15:C25)</f>
        <v>3882.2</v>
      </c>
      <c r="D26" s="46">
        <f t="shared" si="8"/>
        <v>931.7</v>
      </c>
      <c r="E26" s="46">
        <f t="shared" si="8"/>
        <v>467.5</v>
      </c>
      <c r="F26" s="46">
        <f>SUM(F15:F25)</f>
        <v>938.7</v>
      </c>
      <c r="G26" s="46">
        <f>SUM(G15:G25)</f>
        <v>8818.7000000000007</v>
      </c>
      <c r="H26" s="47">
        <f>SUM(H15:H25)</f>
        <v>0.99982993582911939</v>
      </c>
      <c r="I26" s="36">
        <f t="shared" ref="I26" si="9">SUM(I15:I25)</f>
        <v>20855.64</v>
      </c>
      <c r="J26" s="46">
        <f>SUM(J15:J25)</f>
        <v>8974.2999999999993</v>
      </c>
      <c r="K26" s="46">
        <f>SUM(K15:K25)</f>
        <v>25092.039999999994</v>
      </c>
      <c r="L26" s="48">
        <f>+(I26-J26)/J26</f>
        <v>1.3239294429649111</v>
      </c>
      <c r="M26" s="49">
        <f>+K26/I26</f>
        <v>1.2031297049623024</v>
      </c>
      <c r="N26" s="39"/>
      <c r="O26" s="39"/>
      <c r="P26" s="39"/>
      <c r="Q26" s="50"/>
    </row>
    <row r="27" spans="1:17" x14ac:dyDescent="0.25">
      <c r="N27" s="39"/>
      <c r="O27" s="39"/>
    </row>
    <row r="28" spans="1:17" x14ac:dyDescent="0.25">
      <c r="N28" s="39"/>
    </row>
    <row r="29" spans="1:17" x14ac:dyDescent="0.25">
      <c r="A29" t="s">
        <v>28</v>
      </c>
      <c r="N29" s="39"/>
    </row>
    <row r="30" spans="1:17" x14ac:dyDescent="0.25">
      <c r="N30" s="39"/>
    </row>
    <row r="73" spans="1:15" x14ac:dyDescent="0.25">
      <c r="J73" s="51"/>
      <c r="N73" s="39"/>
      <c r="O73" s="39"/>
    </row>
    <row r="74" spans="1:15" x14ac:dyDescent="0.25">
      <c r="A74" t="s">
        <v>21</v>
      </c>
      <c r="K74" s="40"/>
      <c r="M74" s="40"/>
      <c r="N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M2"/>
    <mergeCell ref="B12:H12"/>
    <mergeCell ref="J12:M12"/>
    <mergeCell ref="A13:A14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topLeftCell="A7" zoomScaleNormal="100" workbookViewId="0">
      <selection activeCell="O9" sqref="O9"/>
    </sheetView>
  </sheetViews>
  <sheetFormatPr defaultRowHeight="15" x14ac:dyDescent="0.25"/>
  <cols>
    <col min="1" max="1" width="30.140625" bestFit="1" customWidth="1"/>
    <col min="2" max="2" width="10.5703125" bestFit="1" customWidth="1"/>
    <col min="3" max="3" width="10.5703125" customWidth="1"/>
    <col min="4" max="4" width="10.5703125" bestFit="1" customWidth="1"/>
    <col min="5" max="6" width="10.5703125" customWidth="1"/>
    <col min="7" max="7" width="10.5703125" bestFit="1" customWidth="1"/>
    <col min="8" max="8" width="11.7109375" bestFit="1" customWidth="1"/>
    <col min="9" max="9" width="10.7109375" bestFit="1" customWidth="1"/>
    <col min="10" max="10" width="10.5703125" bestFit="1" customWidth="1"/>
    <col min="11" max="11" width="8.28515625" bestFit="1" customWidth="1"/>
    <col min="12" max="12" width="12.5703125" bestFit="1" customWidth="1"/>
    <col min="13" max="13" width="11.42578125" customWidth="1"/>
    <col min="14" max="14" width="2.5703125" customWidth="1"/>
    <col min="15" max="15" width="11.140625" bestFit="1" customWidth="1"/>
    <col min="16" max="16" width="10.5703125" bestFit="1" customWidth="1"/>
  </cols>
  <sheetData>
    <row r="1" spans="1:18" ht="15.75" thickBot="1" x14ac:dyDescent="0.3"/>
    <row r="2" spans="1:18" ht="19.5" thickBot="1" x14ac:dyDescent="0.35">
      <c r="A2" s="80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18" x14ac:dyDescent="0.25">
      <c r="N3" s="39"/>
      <c r="O3" s="39"/>
    </row>
    <row r="4" spans="1:18" x14ac:dyDescent="0.25">
      <c r="A4" s="20" t="s">
        <v>8</v>
      </c>
      <c r="B4" s="21">
        <v>2.8</v>
      </c>
      <c r="C4" s="3"/>
      <c r="D4" s="3"/>
      <c r="E4" s="3"/>
      <c r="F4" s="3"/>
      <c r="H4" s="2"/>
      <c r="I4" s="39"/>
      <c r="J4" s="39"/>
      <c r="K4" s="3"/>
      <c r="L4" s="3"/>
      <c r="M4" s="3"/>
      <c r="N4" s="39"/>
      <c r="O4" s="39"/>
    </row>
    <row r="5" spans="1:18" x14ac:dyDescent="0.25">
      <c r="A5" s="20" t="s">
        <v>22</v>
      </c>
      <c r="B5" s="22">
        <f>12*1024</f>
        <v>12288</v>
      </c>
      <c r="C5" s="3"/>
      <c r="D5" s="3"/>
      <c r="E5" s="3"/>
      <c r="F5" s="3"/>
      <c r="H5" s="2"/>
      <c r="I5" s="39"/>
      <c r="J5" s="39"/>
      <c r="K5" s="6"/>
      <c r="L5" s="6"/>
      <c r="M5" s="6"/>
      <c r="N5" s="39"/>
      <c r="O5" s="39"/>
    </row>
    <row r="6" spans="1:18" x14ac:dyDescent="0.25">
      <c r="A6" s="20"/>
      <c r="B6" s="22"/>
      <c r="C6" s="3"/>
      <c r="D6" s="3"/>
      <c r="E6" s="3"/>
      <c r="F6" s="3"/>
      <c r="I6" s="39"/>
      <c r="J6" s="39"/>
      <c r="K6" s="6"/>
      <c r="L6" s="6"/>
      <c r="M6" s="6"/>
      <c r="N6" s="39"/>
      <c r="O6" s="39"/>
      <c r="P6" s="2"/>
      <c r="Q6" s="4"/>
      <c r="R6" s="4"/>
    </row>
    <row r="7" spans="1:18" x14ac:dyDescent="0.25">
      <c r="A7" s="20" t="s">
        <v>23</v>
      </c>
      <c r="B7" s="22">
        <f>5920+5070</f>
        <v>10990</v>
      </c>
      <c r="C7" s="3"/>
      <c r="D7" s="3"/>
      <c r="E7" s="3"/>
      <c r="F7" s="3"/>
      <c r="G7" s="40"/>
      <c r="H7" s="2"/>
      <c r="I7" s="39"/>
      <c r="J7" s="39"/>
      <c r="K7" s="6"/>
      <c r="L7" s="6"/>
      <c r="M7" s="6"/>
      <c r="N7" s="39"/>
      <c r="O7" s="39"/>
      <c r="P7" s="5"/>
      <c r="Q7" s="4"/>
      <c r="R7" s="4"/>
    </row>
    <row r="8" spans="1:18" x14ac:dyDescent="0.25">
      <c r="A8" s="20" t="s">
        <v>24</v>
      </c>
      <c r="B8" s="22">
        <v>25200</v>
      </c>
      <c r="C8" s="3"/>
      <c r="D8" s="3"/>
      <c r="E8" s="3"/>
      <c r="F8" s="3"/>
      <c r="H8" s="2"/>
      <c r="I8" s="39"/>
      <c r="J8" s="39"/>
      <c r="K8" s="6"/>
      <c r="L8" s="6"/>
      <c r="M8" s="6"/>
      <c r="O8" s="39"/>
    </row>
    <row r="9" spans="1:18" x14ac:dyDescent="0.25">
      <c r="A9" s="20" t="s">
        <v>38</v>
      </c>
      <c r="B9" s="56"/>
      <c r="C9" s="68"/>
      <c r="D9" s="3"/>
      <c r="E9" s="3"/>
      <c r="F9" s="3"/>
      <c r="H9" s="2"/>
      <c r="I9" s="39"/>
      <c r="J9" s="39"/>
      <c r="K9" s="6"/>
      <c r="L9" s="6"/>
      <c r="M9" s="6"/>
      <c r="O9" s="39"/>
    </row>
    <row r="10" spans="1:18" x14ac:dyDescent="0.25">
      <c r="A10" s="20"/>
      <c r="B10" s="56"/>
      <c r="C10" s="68"/>
      <c r="D10" s="4"/>
      <c r="E10" s="4"/>
      <c r="F10" s="4"/>
      <c r="G10" s="4"/>
      <c r="H10" s="4"/>
      <c r="I10" s="4"/>
      <c r="J10" s="39"/>
      <c r="K10" s="4"/>
      <c r="L10" s="4"/>
      <c r="M10" s="4"/>
      <c r="O10" s="39"/>
    </row>
    <row r="11" spans="1:18" ht="15.75" thickBot="1" x14ac:dyDescent="0.3">
      <c r="A11" s="38"/>
      <c r="B11" s="38"/>
      <c r="C11" s="38"/>
      <c r="D11" s="38"/>
      <c r="E11" s="38"/>
      <c r="F11" s="38"/>
      <c r="G11" s="4"/>
      <c r="H11" s="4"/>
      <c r="I11" s="4"/>
      <c r="J11" s="4"/>
      <c r="K11" s="4"/>
      <c r="L11" s="4"/>
      <c r="M11" s="4"/>
      <c r="O11" s="39"/>
      <c r="P11" s="39"/>
      <c r="R11" s="39"/>
    </row>
    <row r="12" spans="1:18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6"/>
      <c r="I12" s="23" t="s">
        <v>25</v>
      </c>
      <c r="J12" s="87" t="s">
        <v>11</v>
      </c>
      <c r="K12" s="88"/>
      <c r="L12" s="88"/>
      <c r="M12" s="89"/>
      <c r="O12" s="39"/>
      <c r="P12" s="39"/>
      <c r="R12" s="39"/>
    </row>
    <row r="13" spans="1:18" ht="45" x14ac:dyDescent="0.25">
      <c r="A13" s="90" t="s">
        <v>12</v>
      </c>
      <c r="B13" s="8" t="s">
        <v>32</v>
      </c>
      <c r="C13" s="69" t="s">
        <v>32</v>
      </c>
      <c r="D13" s="55" t="s">
        <v>26</v>
      </c>
      <c r="E13" s="55" t="s">
        <v>36</v>
      </c>
      <c r="F13" s="55" t="s">
        <v>41</v>
      </c>
      <c r="G13" s="55" t="s">
        <v>29</v>
      </c>
      <c r="H13" s="9" t="s">
        <v>13</v>
      </c>
      <c r="I13" s="24" t="s">
        <v>14</v>
      </c>
      <c r="J13" s="8" t="s">
        <v>15</v>
      </c>
      <c r="K13" s="55" t="s">
        <v>16</v>
      </c>
      <c r="L13" s="55" t="s">
        <v>33</v>
      </c>
      <c r="M13" s="10" t="s">
        <v>17</v>
      </c>
      <c r="O13" s="74" t="s">
        <v>43</v>
      </c>
      <c r="P13" s="75" t="s">
        <v>44</v>
      </c>
      <c r="R13" s="39"/>
    </row>
    <row r="14" spans="1:18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6</v>
      </c>
      <c r="H14" s="13" t="s">
        <v>7</v>
      </c>
      <c r="I14" s="25" t="s">
        <v>30</v>
      </c>
      <c r="J14" s="11" t="s">
        <v>6</v>
      </c>
      <c r="K14" s="12" t="s">
        <v>18</v>
      </c>
      <c r="L14" s="12" t="s">
        <v>7</v>
      </c>
      <c r="M14" s="14" t="s">
        <v>19</v>
      </c>
      <c r="N14" s="39"/>
      <c r="O14" s="76"/>
      <c r="P14" s="76"/>
      <c r="R14" s="39"/>
    </row>
    <row r="15" spans="1:18" x14ac:dyDescent="0.25">
      <c r="A15" s="1" t="s">
        <v>0</v>
      </c>
      <c r="B15" s="26">
        <v>27.2</v>
      </c>
      <c r="C15" s="71">
        <v>31.1</v>
      </c>
      <c r="D15" s="27">
        <f>6.3+6.8</f>
        <v>13.1</v>
      </c>
      <c r="E15" s="27"/>
      <c r="F15" s="27">
        <v>11.8</v>
      </c>
      <c r="G15" s="16">
        <f>SUM(B15:F15)</f>
        <v>83.199999999999989</v>
      </c>
      <c r="H15" s="67">
        <f>+G15/($B$26+$C$26)</f>
        <v>9.4328926781705614E-3</v>
      </c>
      <c r="I15" s="29">
        <v>250.03</v>
      </c>
      <c r="J15" s="15">
        <v>180</v>
      </c>
      <c r="K15" s="16">
        <v>468</v>
      </c>
      <c r="L15" s="30"/>
      <c r="M15" s="17"/>
      <c r="N15" s="39"/>
      <c r="O15" s="76">
        <f>+'2022-05'!K15</f>
        <v>468</v>
      </c>
      <c r="P15" s="77">
        <f>+K15-O15</f>
        <v>0</v>
      </c>
      <c r="R15" s="39"/>
    </row>
    <row r="16" spans="1:18" x14ac:dyDescent="0.25">
      <c r="A16" s="1" t="s">
        <v>1</v>
      </c>
      <c r="B16" s="32">
        <v>159.6</v>
      </c>
      <c r="C16" s="72">
        <v>176.3</v>
      </c>
      <c r="D16" s="33">
        <f>24.5+26.5</f>
        <v>51</v>
      </c>
      <c r="E16" s="33">
        <v>39.1</v>
      </c>
      <c r="F16" s="27">
        <v>51.9</v>
      </c>
      <c r="G16" s="16">
        <f t="shared" ref="G16:G22" si="0">SUM(B16:F16)</f>
        <v>477.9</v>
      </c>
      <c r="H16" s="67">
        <f t="shared" ref="H16:H22" si="1">+G16/($B$26+$C$26)</f>
        <v>5.418244484252057E-2</v>
      </c>
      <c r="I16" s="34">
        <v>1560</v>
      </c>
      <c r="J16" s="15">
        <f>+G16+$B$9*H16</f>
        <v>477.9</v>
      </c>
      <c r="K16" s="16">
        <f t="shared" ref="K16:K22" si="2">+J16*$B$4</f>
        <v>1338.12</v>
      </c>
      <c r="L16" s="30">
        <f t="shared" ref="L16" si="3">+(I16-J16)/J16</f>
        <v>2.2642812303829252</v>
      </c>
      <c r="M16" s="17">
        <f>+K16/I16</f>
        <v>0.85776923076923073</v>
      </c>
      <c r="N16" s="39"/>
      <c r="O16" s="76">
        <f>+'2022-05'!K16</f>
        <v>1403.6399999999999</v>
      </c>
      <c r="P16" s="77">
        <f>+K16-O16</f>
        <v>-65.519999999999982</v>
      </c>
    </row>
    <row r="17" spans="1:17" x14ac:dyDescent="0.25">
      <c r="A17" s="1" t="s">
        <v>2</v>
      </c>
      <c r="B17" s="32">
        <v>921.9</v>
      </c>
      <c r="C17" s="72">
        <v>1035.5999999999999</v>
      </c>
      <c r="D17" s="33">
        <f>145.3+156.7</f>
        <v>302</v>
      </c>
      <c r="E17" s="33">
        <v>128.1</v>
      </c>
      <c r="F17" s="27">
        <v>308.3</v>
      </c>
      <c r="G17" s="16">
        <f t="shared" si="0"/>
        <v>2695.9</v>
      </c>
      <c r="H17" s="67">
        <f t="shared" si="1"/>
        <v>0.30565066551778869</v>
      </c>
      <c r="I17" s="34">
        <v>6100</v>
      </c>
      <c r="J17" s="15">
        <f>+G17+$B$9*H17</f>
        <v>2695.9</v>
      </c>
      <c r="K17" s="16">
        <f t="shared" si="2"/>
        <v>7548.5199999999995</v>
      </c>
      <c r="L17" s="30">
        <f>+(I17-J17)/J17</f>
        <v>1.262695203828035</v>
      </c>
      <c r="M17" s="17">
        <f t="shared" ref="M17:M18" si="4">+K17/I17</f>
        <v>1.2374622950819671</v>
      </c>
      <c r="N17" s="39"/>
      <c r="O17" s="76">
        <f>+'2022-05'!K17</f>
        <v>7937.1599999999989</v>
      </c>
      <c r="P17" s="77">
        <f t="shared" ref="P17:P22" si="5">+K17-O17</f>
        <v>-388.63999999999942</v>
      </c>
    </row>
    <row r="18" spans="1:17" x14ac:dyDescent="0.25">
      <c r="A18" s="1" t="s">
        <v>3</v>
      </c>
      <c r="B18" s="32">
        <v>1254.7</v>
      </c>
      <c r="C18" s="33">
        <v>1347.8</v>
      </c>
      <c r="D18" s="33">
        <f>135.5+146.1</f>
        <v>281.60000000000002</v>
      </c>
      <c r="E18" s="33">
        <v>164.3</v>
      </c>
      <c r="F18" s="27">
        <v>292.39999999999998</v>
      </c>
      <c r="G18" s="16">
        <f t="shared" si="0"/>
        <v>3340.8</v>
      </c>
      <c r="H18" s="67">
        <f t="shared" si="1"/>
        <v>0.37876692138500262</v>
      </c>
      <c r="I18" s="34">
        <v>7190</v>
      </c>
      <c r="J18" s="15">
        <f>+G18+$B$9*H18</f>
        <v>3340.8</v>
      </c>
      <c r="K18" s="16">
        <f t="shared" si="2"/>
        <v>9354.24</v>
      </c>
      <c r="L18" s="30">
        <f t="shared" ref="L18:L19" si="6">+(I18-J18)/J18</f>
        <v>1.1521791187739463</v>
      </c>
      <c r="M18" s="17">
        <f t="shared" si="4"/>
        <v>1.3010069541029208</v>
      </c>
      <c r="N18" s="39"/>
      <c r="O18" s="76">
        <f>+'2022-05'!K18</f>
        <v>8539.7199999999993</v>
      </c>
      <c r="P18" s="77">
        <f t="shared" si="5"/>
        <v>814.52000000000044</v>
      </c>
    </row>
    <row r="19" spans="1:17" x14ac:dyDescent="0.25">
      <c r="A19" s="1" t="s">
        <v>4</v>
      </c>
      <c r="B19" s="32">
        <v>188.6</v>
      </c>
      <c r="C19" s="33">
        <v>208.1</v>
      </c>
      <c r="D19" s="33">
        <f>27+29.1</f>
        <v>56.1</v>
      </c>
      <c r="E19" s="33">
        <v>19.3</v>
      </c>
      <c r="F19" s="27">
        <v>65.900000000000006</v>
      </c>
      <c r="G19" s="16">
        <f t="shared" si="0"/>
        <v>538</v>
      </c>
      <c r="H19" s="67">
        <f t="shared" si="1"/>
        <v>6.0996349289131759E-2</v>
      </c>
      <c r="I19" s="34">
        <v>1270</v>
      </c>
      <c r="J19" s="15">
        <f>+G19+$B$9*H19</f>
        <v>538</v>
      </c>
      <c r="K19" s="16">
        <f t="shared" si="2"/>
        <v>1506.3999999999999</v>
      </c>
      <c r="L19" s="30">
        <f t="shared" si="6"/>
        <v>1.3605947955390334</v>
      </c>
      <c r="M19" s="17">
        <f>+K19/I19</f>
        <v>1.1861417322834644</v>
      </c>
      <c r="N19" s="39"/>
      <c r="O19" s="76">
        <f>+'2022-05'!K19</f>
        <v>1589.28</v>
      </c>
      <c r="P19" s="77">
        <f t="shared" si="5"/>
        <v>-82.880000000000109</v>
      </c>
    </row>
    <row r="20" spans="1:17" x14ac:dyDescent="0.25">
      <c r="A20" s="1" t="s">
        <v>21</v>
      </c>
      <c r="B20" s="32">
        <v>11.1</v>
      </c>
      <c r="C20" s="33">
        <v>14.1</v>
      </c>
      <c r="D20" s="33">
        <v>2.1</v>
      </c>
      <c r="E20" s="33">
        <v>0.8</v>
      </c>
      <c r="F20" s="27">
        <v>5.3</v>
      </c>
      <c r="G20" s="16">
        <f t="shared" si="0"/>
        <v>33.4</v>
      </c>
      <c r="H20" s="67">
        <f t="shared" si="1"/>
        <v>3.7867622049386632E-3</v>
      </c>
      <c r="I20" s="34">
        <v>115.61</v>
      </c>
      <c r="J20" s="15">
        <v>100</v>
      </c>
      <c r="K20" s="16">
        <f t="shared" si="2"/>
        <v>280</v>
      </c>
      <c r="L20" s="30"/>
      <c r="M20" s="17"/>
      <c r="N20" s="39"/>
      <c r="O20" s="76">
        <f>+'2022-05'!K20</f>
        <v>280</v>
      </c>
      <c r="P20" s="77">
        <f t="shared" si="5"/>
        <v>0</v>
      </c>
    </row>
    <row r="21" spans="1:17" x14ac:dyDescent="0.25">
      <c r="A21" s="31" t="s">
        <v>35</v>
      </c>
      <c r="B21" s="32">
        <v>331.2</v>
      </c>
      <c r="C21" s="33">
        <v>372.7</v>
      </c>
      <c r="D21" s="33">
        <f>63.5+68.5</f>
        <v>132</v>
      </c>
      <c r="E21" s="33">
        <v>76.900000000000006</v>
      </c>
      <c r="F21" s="27">
        <v>125.9</v>
      </c>
      <c r="G21" s="16">
        <f t="shared" si="0"/>
        <v>1038.7</v>
      </c>
      <c r="H21" s="67">
        <f>+G21/($B$26+$C$26)</f>
        <v>0.11776376952903563</v>
      </c>
      <c r="I21" s="34">
        <v>2650</v>
      </c>
      <c r="J21" s="15">
        <f>+G21+$B$9*H21</f>
        <v>1038.7</v>
      </c>
      <c r="K21" s="16">
        <f t="shared" si="2"/>
        <v>2908.36</v>
      </c>
      <c r="L21" s="30">
        <f t="shared" ref="L21:L22" si="7">+(I21-J21)/J21</f>
        <v>1.5512660055839029</v>
      </c>
      <c r="M21" s="17">
        <f t="shared" ref="M21:M22" si="8">+K21/I21</f>
        <v>1.0974943396226415</v>
      </c>
      <c r="N21" s="39"/>
      <c r="O21" s="76">
        <f>+'2022-05'!K21</f>
        <v>3067.1199999999994</v>
      </c>
      <c r="P21" s="77">
        <f t="shared" si="5"/>
        <v>-158.75999999999931</v>
      </c>
    </row>
    <row r="22" spans="1:17" x14ac:dyDescent="0.25">
      <c r="A22" s="31" t="s">
        <v>39</v>
      </c>
      <c r="B22" s="32">
        <v>188.5</v>
      </c>
      <c r="C22" s="33">
        <v>212.3</v>
      </c>
      <c r="D22" s="33">
        <f>45.1+48.7</f>
        <v>93.800000000000011</v>
      </c>
      <c r="E22" s="33">
        <v>39</v>
      </c>
      <c r="F22" s="27">
        <v>77.099999999999994</v>
      </c>
      <c r="G22" s="16">
        <f t="shared" si="0"/>
        <v>610.70000000000005</v>
      </c>
      <c r="H22" s="67">
        <f t="shared" si="1"/>
        <v>6.9238792771138979E-2</v>
      </c>
      <c r="I22" s="34">
        <v>1720</v>
      </c>
      <c r="J22" s="15">
        <f>+G22+$B$9*H22</f>
        <v>610.70000000000005</v>
      </c>
      <c r="K22" s="16">
        <f t="shared" si="2"/>
        <v>1709.96</v>
      </c>
      <c r="L22" s="30">
        <f t="shared" si="7"/>
        <v>1.8164401506467986</v>
      </c>
      <c r="M22" s="17">
        <f t="shared" si="8"/>
        <v>0.99416279069767444</v>
      </c>
      <c r="N22" s="39"/>
      <c r="O22" s="76">
        <f>+'2022-05'!K22</f>
        <v>1807.12</v>
      </c>
      <c r="P22" s="77">
        <f t="shared" si="5"/>
        <v>-97.159999999999854</v>
      </c>
    </row>
    <row r="23" spans="1:17" x14ac:dyDescent="0.25">
      <c r="A23" s="31" t="s">
        <v>5</v>
      </c>
      <c r="B23" s="32">
        <v>449</v>
      </c>
      <c r="C23" s="33">
        <v>484.2</v>
      </c>
      <c r="D23" s="33"/>
      <c r="E23" s="33"/>
      <c r="F23" s="27"/>
      <c r="G23" s="16"/>
      <c r="H23" s="28"/>
      <c r="I23" s="34"/>
      <c r="J23" s="15"/>
      <c r="K23" s="16"/>
      <c r="L23" s="57"/>
      <c r="M23" s="58"/>
      <c r="N23" s="39"/>
      <c r="O23" s="76"/>
      <c r="P23" s="78"/>
    </row>
    <row r="24" spans="1:17" x14ac:dyDescent="0.25">
      <c r="A24" s="19" t="s">
        <v>37</v>
      </c>
      <c r="B24" s="41">
        <v>467.6</v>
      </c>
      <c r="C24" s="33"/>
      <c r="D24" s="33"/>
      <c r="E24" s="33"/>
      <c r="F24" s="33"/>
      <c r="G24" s="18"/>
      <c r="H24" s="65"/>
      <c r="I24" s="34"/>
      <c r="J24" s="66"/>
      <c r="K24" s="18"/>
      <c r="L24" s="61"/>
      <c r="M24" s="62"/>
      <c r="N24" s="39"/>
      <c r="O24" s="76"/>
      <c r="P24" s="76"/>
    </row>
    <row r="25" spans="1:17" ht="15.75" thickBot="1" x14ac:dyDescent="0.3">
      <c r="A25" s="19" t="s">
        <v>40</v>
      </c>
      <c r="B25" s="41">
        <v>938.6</v>
      </c>
      <c r="C25" s="73"/>
      <c r="D25" s="63"/>
      <c r="E25" s="63"/>
      <c r="F25" s="63"/>
      <c r="G25" s="44"/>
      <c r="H25" s="42"/>
      <c r="I25" s="64"/>
      <c r="J25" s="43"/>
      <c r="K25" s="44"/>
      <c r="L25" s="59"/>
      <c r="M25" s="60"/>
      <c r="N25" s="39"/>
      <c r="O25" s="76"/>
      <c r="P25" s="76"/>
    </row>
    <row r="26" spans="1:17" s="37" customFormat="1" ht="15.75" thickBot="1" x14ac:dyDescent="0.3">
      <c r="A26" s="35" t="s">
        <v>20</v>
      </c>
      <c r="B26" s="45">
        <f>SUM(B15:B25)</f>
        <v>4938</v>
      </c>
      <c r="C26" s="46">
        <f t="shared" ref="C26:E26" si="9">SUM(C15:C25)</f>
        <v>3882.2</v>
      </c>
      <c r="D26" s="46">
        <f t="shared" si="9"/>
        <v>931.7</v>
      </c>
      <c r="E26" s="46">
        <f t="shared" si="9"/>
        <v>467.5</v>
      </c>
      <c r="F26" s="46">
        <f>SUM(F15:F25)</f>
        <v>938.59999999999991</v>
      </c>
      <c r="G26" s="46">
        <f>SUM(G15:G25)</f>
        <v>8818.6</v>
      </c>
      <c r="H26" s="47">
        <f>SUM(H15:H25)</f>
        <v>0.99981859821772756</v>
      </c>
      <c r="I26" s="36">
        <f t="shared" ref="I26" si="10">SUM(I15:I25)</f>
        <v>20855.64</v>
      </c>
      <c r="J26" s="46">
        <f>SUM(J15:J25)</f>
        <v>8982.0000000000018</v>
      </c>
      <c r="K26" s="46">
        <f>SUM(K15:K25)</f>
        <v>25113.599999999999</v>
      </c>
      <c r="L26" s="48">
        <f>+(I26-J26)/J26</f>
        <v>1.3219372077488305</v>
      </c>
      <c r="M26" s="49">
        <f>+K26/I26</f>
        <v>1.2041634780807493</v>
      </c>
      <c r="N26" s="39"/>
      <c r="O26" s="39"/>
      <c r="P26" s="39"/>
      <c r="Q26" s="50"/>
    </row>
    <row r="27" spans="1:17" x14ac:dyDescent="0.25">
      <c r="N27" s="39"/>
      <c r="O27" s="39"/>
    </row>
    <row r="28" spans="1:17" x14ac:dyDescent="0.25">
      <c r="N28" s="39"/>
    </row>
    <row r="29" spans="1:17" x14ac:dyDescent="0.25">
      <c r="A29" t="s">
        <v>28</v>
      </c>
      <c r="N29" s="39"/>
    </row>
    <row r="30" spans="1:17" x14ac:dyDescent="0.25">
      <c r="N30" s="39"/>
    </row>
    <row r="73" spans="1:15" x14ac:dyDescent="0.25">
      <c r="J73" s="51"/>
      <c r="N73" s="39"/>
      <c r="O73" s="39"/>
    </row>
    <row r="74" spans="1:15" x14ac:dyDescent="0.25">
      <c r="A74" t="s">
        <v>21</v>
      </c>
      <c r="K74" s="40"/>
      <c r="M74" s="40"/>
      <c r="N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M2"/>
    <mergeCell ref="B12:H12"/>
    <mergeCell ref="J12:M12"/>
    <mergeCell ref="A13:A14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topLeftCell="A10" zoomScaleNormal="100" workbookViewId="0">
      <selection activeCell="B7" sqref="B7"/>
    </sheetView>
  </sheetViews>
  <sheetFormatPr defaultRowHeight="15" x14ac:dyDescent="0.25"/>
  <cols>
    <col min="1" max="1" width="30.140625" bestFit="1" customWidth="1"/>
    <col min="2" max="2" width="10.5703125" bestFit="1" customWidth="1"/>
    <col min="3" max="3" width="10.5703125" customWidth="1"/>
    <col min="4" max="4" width="10.5703125" bestFit="1" customWidth="1"/>
    <col min="5" max="6" width="10.5703125" customWidth="1"/>
    <col min="7" max="7" width="10.5703125" bestFit="1" customWidth="1"/>
    <col min="8" max="8" width="11.7109375" bestFit="1" customWidth="1"/>
    <col min="9" max="9" width="10.7109375" bestFit="1" customWidth="1"/>
    <col min="10" max="10" width="10.5703125" bestFit="1" customWidth="1"/>
    <col min="11" max="11" width="8.28515625" bestFit="1" customWidth="1"/>
    <col min="12" max="12" width="12.5703125" bestFit="1" customWidth="1"/>
    <col min="13" max="13" width="11.42578125" customWidth="1"/>
    <col min="14" max="14" width="9.140625" customWidth="1"/>
    <col min="15" max="15" width="11.140625" bestFit="1" customWidth="1"/>
    <col min="16" max="16" width="10.5703125" bestFit="1" customWidth="1"/>
  </cols>
  <sheetData>
    <row r="1" spans="1:18" ht="15.75" thickBot="1" x14ac:dyDescent="0.3"/>
    <row r="2" spans="1:18" ht="19.5" thickBot="1" x14ac:dyDescent="0.35">
      <c r="A2" s="80" t="s">
        <v>45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18" x14ac:dyDescent="0.25">
      <c r="N3" s="39"/>
      <c r="O3" s="39"/>
    </row>
    <row r="4" spans="1:18" x14ac:dyDescent="0.25">
      <c r="A4" s="20" t="s">
        <v>8</v>
      </c>
      <c r="B4" s="21">
        <v>2.8</v>
      </c>
      <c r="C4" s="3"/>
      <c r="D4" s="3"/>
      <c r="E4" s="3"/>
      <c r="F4" s="3"/>
      <c r="H4" s="2"/>
      <c r="I4" s="39"/>
      <c r="J4" s="39"/>
      <c r="K4" s="3"/>
      <c r="L4" s="3"/>
      <c r="M4" s="3"/>
      <c r="N4" s="39"/>
      <c r="O4" s="39"/>
    </row>
    <row r="5" spans="1:18" x14ac:dyDescent="0.25">
      <c r="A5" s="20" t="s">
        <v>22</v>
      </c>
      <c r="B5" s="22">
        <f>12*1024</f>
        <v>12288</v>
      </c>
      <c r="C5" s="3"/>
      <c r="D5" s="3"/>
      <c r="E5" s="3"/>
      <c r="F5" s="3"/>
      <c r="H5" s="2"/>
      <c r="I5" s="39"/>
      <c r="J5" s="39"/>
      <c r="K5" s="6"/>
      <c r="L5" s="6"/>
      <c r="M5" s="6"/>
      <c r="N5" s="39"/>
      <c r="O5" s="39"/>
    </row>
    <row r="6" spans="1:18" x14ac:dyDescent="0.25">
      <c r="A6" s="20"/>
      <c r="B6" s="22"/>
      <c r="C6" s="3"/>
      <c r="D6" s="3"/>
      <c r="E6" s="3"/>
      <c r="F6" s="3"/>
      <c r="I6" s="39"/>
      <c r="J6" s="39"/>
      <c r="K6" s="6"/>
      <c r="L6" s="6"/>
      <c r="M6" s="6"/>
      <c r="N6" s="39"/>
      <c r="O6" s="39"/>
      <c r="P6" s="2"/>
      <c r="Q6" s="4"/>
      <c r="R6" s="4"/>
    </row>
    <row r="7" spans="1:18" x14ac:dyDescent="0.25">
      <c r="A7" s="20" t="s">
        <v>23</v>
      </c>
      <c r="B7" s="22">
        <f>5070+3840</f>
        <v>8910</v>
      </c>
      <c r="C7" s="3"/>
      <c r="D7" s="3"/>
      <c r="E7" s="3"/>
      <c r="F7" s="3"/>
      <c r="G7" s="40"/>
      <c r="H7" s="2"/>
      <c r="I7" s="39"/>
      <c r="J7" s="39"/>
      <c r="K7" s="6"/>
      <c r="L7" s="6"/>
      <c r="M7" s="6"/>
      <c r="N7" s="39"/>
      <c r="O7" s="39"/>
      <c r="P7" s="5"/>
      <c r="Q7" s="4"/>
      <c r="R7" s="4"/>
    </row>
    <row r="8" spans="1:18" x14ac:dyDescent="0.25">
      <c r="A8" s="20" t="s">
        <v>24</v>
      </c>
      <c r="B8" s="22">
        <v>25200</v>
      </c>
      <c r="C8" s="3"/>
      <c r="D8" s="3"/>
      <c r="E8" s="3"/>
      <c r="F8" s="3"/>
      <c r="H8" s="2"/>
      <c r="I8" s="39"/>
      <c r="J8" s="39"/>
      <c r="K8" s="6"/>
      <c r="L8" s="6"/>
      <c r="M8" s="6"/>
      <c r="O8" s="39"/>
    </row>
    <row r="9" spans="1:18" x14ac:dyDescent="0.25">
      <c r="A9" s="20" t="s">
        <v>38</v>
      </c>
      <c r="B9" s="56"/>
      <c r="C9" s="68"/>
      <c r="D9" s="3"/>
      <c r="E9" s="3"/>
      <c r="F9" s="3"/>
      <c r="H9" s="2"/>
      <c r="I9" s="39"/>
      <c r="J9" s="39"/>
      <c r="K9" s="6"/>
      <c r="L9" s="6"/>
      <c r="M9" s="6"/>
      <c r="O9" s="39"/>
    </row>
    <row r="10" spans="1:18" x14ac:dyDescent="0.25">
      <c r="A10" s="20"/>
      <c r="B10" s="56"/>
      <c r="C10" s="68"/>
      <c r="D10" s="4"/>
      <c r="E10" s="4"/>
      <c r="F10" s="4"/>
      <c r="G10" s="4"/>
      <c r="H10" s="4"/>
      <c r="I10" s="4"/>
      <c r="J10" s="39"/>
      <c r="K10" s="4"/>
      <c r="L10" s="4"/>
      <c r="M10" s="4"/>
      <c r="O10" s="39"/>
    </row>
    <row r="11" spans="1:18" ht="15.75" thickBot="1" x14ac:dyDescent="0.3">
      <c r="A11" s="38"/>
      <c r="B11" s="38"/>
      <c r="C11" s="38"/>
      <c r="D11" s="38"/>
      <c r="E11" s="38"/>
      <c r="F11" s="38"/>
      <c r="G11" s="4"/>
      <c r="H11" s="4"/>
      <c r="I11" s="4"/>
      <c r="J11" s="4"/>
      <c r="K11" s="4"/>
      <c r="L11" s="4"/>
      <c r="M11" s="4"/>
      <c r="O11" s="39"/>
      <c r="P11" s="39"/>
      <c r="R11" s="39"/>
    </row>
    <row r="12" spans="1:18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6"/>
      <c r="I12" s="23" t="s">
        <v>25</v>
      </c>
      <c r="J12" s="87" t="s">
        <v>11</v>
      </c>
      <c r="K12" s="88"/>
      <c r="L12" s="88"/>
      <c r="M12" s="89"/>
      <c r="O12" s="39"/>
      <c r="P12" s="39"/>
      <c r="R12" s="39"/>
    </row>
    <row r="13" spans="1:18" ht="45" x14ac:dyDescent="0.25">
      <c r="A13" s="90" t="s">
        <v>12</v>
      </c>
      <c r="B13" s="8" t="s">
        <v>32</v>
      </c>
      <c r="C13" s="69" t="s">
        <v>32</v>
      </c>
      <c r="D13" s="55" t="s">
        <v>26</v>
      </c>
      <c r="E13" s="55" t="s">
        <v>36</v>
      </c>
      <c r="F13" s="55" t="s">
        <v>41</v>
      </c>
      <c r="G13" s="55" t="s">
        <v>29</v>
      </c>
      <c r="H13" s="9" t="s">
        <v>13</v>
      </c>
      <c r="I13" s="24" t="s">
        <v>14</v>
      </c>
      <c r="J13" s="8" t="s">
        <v>15</v>
      </c>
      <c r="K13" s="55" t="s">
        <v>16</v>
      </c>
      <c r="L13" s="55" t="s">
        <v>33</v>
      </c>
      <c r="M13" s="10" t="s">
        <v>17</v>
      </c>
      <c r="O13" s="39"/>
      <c r="P13" s="39"/>
      <c r="R13" s="39"/>
    </row>
    <row r="14" spans="1:18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6</v>
      </c>
      <c r="H14" s="13" t="s">
        <v>7</v>
      </c>
      <c r="I14" s="25" t="s">
        <v>30</v>
      </c>
      <c r="J14" s="11" t="s">
        <v>6</v>
      </c>
      <c r="K14" s="12" t="s">
        <v>18</v>
      </c>
      <c r="L14" s="12" t="s">
        <v>7</v>
      </c>
      <c r="M14" s="14" t="s">
        <v>19</v>
      </c>
      <c r="N14" s="39"/>
      <c r="O14" s="39"/>
      <c r="P14" s="39"/>
      <c r="R14" s="39"/>
    </row>
    <row r="15" spans="1:18" x14ac:dyDescent="0.25">
      <c r="A15" s="1" t="s">
        <v>0</v>
      </c>
      <c r="B15" s="26">
        <v>16.100000000000001</v>
      </c>
      <c r="C15" s="71">
        <v>20.3</v>
      </c>
      <c r="D15" s="27">
        <f>4.8+5.4</f>
        <v>10.199999999999999</v>
      </c>
      <c r="E15" s="27">
        <v>0.4</v>
      </c>
      <c r="F15" s="27">
        <v>9.6999999999999993</v>
      </c>
      <c r="G15" s="16">
        <f>SUM(B15:F15)</f>
        <v>56.7</v>
      </c>
      <c r="H15" s="67">
        <f>+G15/($B$26+$C$26)</f>
        <v>7.7799121844127333E-3</v>
      </c>
      <c r="I15" s="29">
        <v>243.6</v>
      </c>
      <c r="J15" s="15">
        <v>180</v>
      </c>
      <c r="K15" s="16">
        <v>468</v>
      </c>
      <c r="L15" s="30"/>
      <c r="M15" s="17"/>
      <c r="N15" s="39"/>
      <c r="O15" s="39"/>
      <c r="P15" s="52"/>
      <c r="R15" s="39"/>
    </row>
    <row r="16" spans="1:18" x14ac:dyDescent="0.25">
      <c r="A16" s="1" t="s">
        <v>1</v>
      </c>
      <c r="B16" s="32">
        <v>200.6</v>
      </c>
      <c r="C16" s="72">
        <v>213.6</v>
      </c>
      <c r="D16" s="33">
        <f>24.7+27.7</f>
        <v>52.4</v>
      </c>
      <c r="E16" s="33">
        <v>40.200000000000003</v>
      </c>
      <c r="F16" s="27">
        <v>55.8</v>
      </c>
      <c r="G16" s="16">
        <f t="shared" ref="G16:G22" si="0">SUM(B16:F16)</f>
        <v>562.59999999999991</v>
      </c>
      <c r="H16" s="67">
        <f t="shared" ref="H16:H22" si="1">+G16/($B$26+$C$26)</f>
        <v>7.7195389681668489E-2</v>
      </c>
      <c r="I16" s="34">
        <v>1610</v>
      </c>
      <c r="J16" s="15">
        <f>+G16+$B$9*H16</f>
        <v>562.59999999999991</v>
      </c>
      <c r="K16" s="16">
        <f t="shared" ref="K16:K22" si="2">+J16*$B$4</f>
        <v>1575.2799999999997</v>
      </c>
      <c r="L16" s="30">
        <f t="shared" ref="L16" si="3">+(I16-J16)/J16</f>
        <v>1.8617134731603275</v>
      </c>
      <c r="M16" s="17">
        <f>+K16/I16</f>
        <v>0.97843478260869554</v>
      </c>
      <c r="N16" s="39"/>
      <c r="O16" s="39"/>
      <c r="P16" s="53"/>
    </row>
    <row r="17" spans="1:17" x14ac:dyDescent="0.25">
      <c r="A17" s="1" t="s">
        <v>2</v>
      </c>
      <c r="B17" s="32">
        <v>776.6</v>
      </c>
      <c r="C17" s="72">
        <v>871.2</v>
      </c>
      <c r="D17" s="33">
        <f>151.1+169.6</f>
        <v>320.7</v>
      </c>
      <c r="E17" s="33">
        <v>129.30000000000001</v>
      </c>
      <c r="F17" s="27">
        <v>333.2</v>
      </c>
      <c r="G17" s="16">
        <f t="shared" si="0"/>
        <v>2431</v>
      </c>
      <c r="H17" s="67">
        <f t="shared" si="1"/>
        <v>0.33356201975850713</v>
      </c>
      <c r="I17" s="34">
        <v>6310</v>
      </c>
      <c r="J17" s="15">
        <f>+G17+$B$9*H17</f>
        <v>2431</v>
      </c>
      <c r="K17" s="16">
        <f t="shared" si="2"/>
        <v>6806.7999999999993</v>
      </c>
      <c r="L17" s="30">
        <f>+(I17-J17)/J17</f>
        <v>1.5956396544631839</v>
      </c>
      <c r="M17" s="17">
        <f t="shared" ref="M17:M18" si="4">+K17/I17</f>
        <v>1.0787321711568938</v>
      </c>
      <c r="N17" s="39"/>
      <c r="O17" s="39"/>
      <c r="P17" s="52"/>
    </row>
    <row r="18" spans="1:17" x14ac:dyDescent="0.25">
      <c r="A18" s="1" t="s">
        <v>3</v>
      </c>
      <c r="B18" s="32">
        <v>710.4</v>
      </c>
      <c r="C18" s="33">
        <v>788.9</v>
      </c>
      <c r="D18" s="33">
        <f>139.5+156.6</f>
        <v>296.10000000000002</v>
      </c>
      <c r="E18" s="33">
        <v>157.1</v>
      </c>
      <c r="F18" s="27">
        <v>289.7</v>
      </c>
      <c r="G18" s="16">
        <f t="shared" si="0"/>
        <v>2242.1999999999998</v>
      </c>
      <c r="H18" s="67">
        <f t="shared" si="1"/>
        <v>0.30765642151481887</v>
      </c>
      <c r="I18" s="34">
        <v>6750</v>
      </c>
      <c r="J18" s="15">
        <f>+G18+$B$9*H18</f>
        <v>2242.1999999999998</v>
      </c>
      <c r="K18" s="16">
        <f t="shared" si="2"/>
        <v>6278.1599999999989</v>
      </c>
      <c r="L18" s="30">
        <f t="shared" ref="L18:L19" si="5">+(I18-J18)/J18</f>
        <v>2.0104361787530105</v>
      </c>
      <c r="M18" s="17">
        <f t="shared" si="4"/>
        <v>0.93009777777777758</v>
      </c>
      <c r="N18" s="39"/>
      <c r="O18" s="39"/>
      <c r="P18" s="52"/>
    </row>
    <row r="19" spans="1:17" x14ac:dyDescent="0.25">
      <c r="A19" s="1" t="s">
        <v>4</v>
      </c>
      <c r="B19" s="32">
        <v>153.1</v>
      </c>
      <c r="C19" s="33">
        <v>171.7</v>
      </c>
      <c r="D19" s="33">
        <f>28.3+31.7</f>
        <v>60</v>
      </c>
      <c r="E19" s="33">
        <v>19.5</v>
      </c>
      <c r="F19" s="27">
        <v>73.900000000000006</v>
      </c>
      <c r="G19" s="16">
        <f t="shared" si="0"/>
        <v>478.19999999999993</v>
      </c>
      <c r="H19" s="67">
        <f t="shared" si="1"/>
        <v>6.561470911086717E-2</v>
      </c>
      <c r="I19" s="34">
        <v>1190</v>
      </c>
      <c r="J19" s="15">
        <f>+G19+$B$9*H19</f>
        <v>478.19999999999993</v>
      </c>
      <c r="K19" s="16">
        <f t="shared" si="2"/>
        <v>1338.9599999999998</v>
      </c>
      <c r="L19" s="30">
        <f t="shared" si="5"/>
        <v>1.488498536177332</v>
      </c>
      <c r="M19" s="17">
        <f>+K19/I19</f>
        <v>1.1251764705882352</v>
      </c>
      <c r="N19" s="39"/>
      <c r="O19" s="39"/>
      <c r="P19" s="54"/>
    </row>
    <row r="20" spans="1:17" x14ac:dyDescent="0.25">
      <c r="A20" s="1" t="s">
        <v>21</v>
      </c>
      <c r="B20" s="32">
        <v>4.5</v>
      </c>
      <c r="C20" s="33">
        <v>5.0999999999999996</v>
      </c>
      <c r="D20" s="33">
        <f>2.3+2.5</f>
        <v>4.8</v>
      </c>
      <c r="E20" s="33">
        <v>0.8</v>
      </c>
      <c r="F20" s="27">
        <v>6.1</v>
      </c>
      <c r="G20" s="16">
        <f t="shared" si="0"/>
        <v>21.299999999999997</v>
      </c>
      <c r="H20" s="67">
        <f t="shared" si="1"/>
        <v>2.9226125137211852E-3</v>
      </c>
      <c r="I20" s="34">
        <v>95.93</v>
      </c>
      <c r="J20" s="15">
        <v>100</v>
      </c>
      <c r="K20" s="16">
        <f t="shared" si="2"/>
        <v>280</v>
      </c>
      <c r="L20" s="30"/>
      <c r="M20" s="17"/>
      <c r="N20" s="39"/>
      <c r="O20" s="39"/>
      <c r="P20" s="52"/>
    </row>
    <row r="21" spans="1:17" x14ac:dyDescent="0.25">
      <c r="A21" s="31" t="s">
        <v>35</v>
      </c>
      <c r="B21" s="32">
        <v>244</v>
      </c>
      <c r="C21" s="33">
        <v>272.2</v>
      </c>
      <c r="D21" s="33">
        <f>64.4+72.3</f>
        <v>136.69999999999999</v>
      </c>
      <c r="E21" s="33">
        <v>72.8</v>
      </c>
      <c r="F21" s="27">
        <v>133.19999999999999</v>
      </c>
      <c r="G21" s="16">
        <f t="shared" si="0"/>
        <v>858.90000000000009</v>
      </c>
      <c r="H21" s="67">
        <f>+G21/($B$26+$C$26)</f>
        <v>0.11785126234906697</v>
      </c>
      <c r="I21" s="34">
        <v>2540</v>
      </c>
      <c r="J21" s="15">
        <f>+G21+$B$9*H21</f>
        <v>858.90000000000009</v>
      </c>
      <c r="K21" s="16">
        <f t="shared" si="2"/>
        <v>2404.92</v>
      </c>
      <c r="L21" s="30">
        <f t="shared" ref="L21:L22" si="6">+(I21-J21)/J21</f>
        <v>1.9572709279310743</v>
      </c>
      <c r="M21" s="17">
        <f t="shared" ref="M21:M22" si="7">+K21/I21</f>
        <v>0.94681889763779525</v>
      </c>
      <c r="N21" s="39"/>
      <c r="O21" s="39"/>
      <c r="P21" s="54"/>
    </row>
    <row r="22" spans="1:17" x14ac:dyDescent="0.25">
      <c r="A22" s="31" t="s">
        <v>39</v>
      </c>
      <c r="B22" s="32">
        <v>184.3</v>
      </c>
      <c r="C22" s="33">
        <v>207.5</v>
      </c>
      <c r="D22" s="33">
        <f>50+56.1</f>
        <v>106.1</v>
      </c>
      <c r="E22" s="33">
        <v>44.2</v>
      </c>
      <c r="F22" s="27">
        <v>95.2</v>
      </c>
      <c r="G22" s="16">
        <f t="shared" si="0"/>
        <v>637.30000000000007</v>
      </c>
      <c r="H22" s="67">
        <f t="shared" si="1"/>
        <v>8.7445115257958297E-2</v>
      </c>
      <c r="I22" s="34">
        <v>2070</v>
      </c>
      <c r="J22" s="15">
        <f>+G22+$B$9*H22</f>
        <v>637.30000000000007</v>
      </c>
      <c r="K22" s="16">
        <f t="shared" si="2"/>
        <v>1784.44</v>
      </c>
      <c r="L22" s="30">
        <f t="shared" si="6"/>
        <v>2.2480778283383018</v>
      </c>
      <c r="M22" s="17">
        <f t="shared" si="7"/>
        <v>0.86204830917874398</v>
      </c>
      <c r="N22" s="39"/>
      <c r="O22" s="39"/>
      <c r="P22" s="54"/>
    </row>
    <row r="23" spans="1:17" x14ac:dyDescent="0.25">
      <c r="A23" s="31" t="s">
        <v>5</v>
      </c>
      <c r="B23" s="32">
        <v>464.9</v>
      </c>
      <c r="C23" s="33">
        <v>521.70000000000005</v>
      </c>
      <c r="D23" s="33"/>
      <c r="E23" s="33"/>
      <c r="F23" s="27"/>
      <c r="G23" s="16"/>
      <c r="H23" s="28"/>
      <c r="I23" s="34"/>
      <c r="J23" s="15"/>
      <c r="K23" s="16"/>
      <c r="L23" s="57"/>
      <c r="M23" s="58"/>
      <c r="N23" s="39"/>
      <c r="O23" s="39"/>
      <c r="P23" s="54"/>
    </row>
    <row r="24" spans="1:17" x14ac:dyDescent="0.25">
      <c r="A24" s="19" t="s">
        <v>37</v>
      </c>
      <c r="B24" s="41">
        <v>464.4</v>
      </c>
      <c r="C24" s="33"/>
      <c r="D24" s="33"/>
      <c r="E24" s="33"/>
      <c r="F24" s="33"/>
      <c r="G24" s="18"/>
      <c r="H24" s="65"/>
      <c r="I24" s="34"/>
      <c r="J24" s="66"/>
      <c r="K24" s="18"/>
      <c r="L24" s="61"/>
      <c r="M24" s="62"/>
      <c r="N24" s="39"/>
      <c r="O24" s="39"/>
      <c r="P24" s="39"/>
    </row>
    <row r="25" spans="1:17" ht="15.75" thickBot="1" x14ac:dyDescent="0.3">
      <c r="A25" s="19" t="s">
        <v>40</v>
      </c>
      <c r="B25" s="41">
        <v>996.9</v>
      </c>
      <c r="C25" s="73"/>
      <c r="D25" s="63"/>
      <c r="E25" s="63"/>
      <c r="F25" s="63"/>
      <c r="G25" s="44"/>
      <c r="H25" s="42"/>
      <c r="I25" s="64"/>
      <c r="J25" s="43"/>
      <c r="K25" s="44"/>
      <c r="L25" s="59"/>
      <c r="M25" s="60"/>
      <c r="N25" s="39"/>
      <c r="O25" s="39"/>
      <c r="P25" s="39"/>
    </row>
    <row r="26" spans="1:17" s="37" customFormat="1" ht="15.75" thickBot="1" x14ac:dyDescent="0.3">
      <c r="A26" s="35" t="s">
        <v>20</v>
      </c>
      <c r="B26" s="45">
        <f>SUM(B15:B25)</f>
        <v>4215.8</v>
      </c>
      <c r="C26" s="46">
        <f t="shared" ref="C26:E26" si="8">SUM(C15:C25)</f>
        <v>3072.2</v>
      </c>
      <c r="D26" s="46">
        <f t="shared" si="8"/>
        <v>986.99999999999989</v>
      </c>
      <c r="E26" s="46">
        <f t="shared" si="8"/>
        <v>464.3</v>
      </c>
      <c r="F26" s="46">
        <f>SUM(F15:F25)</f>
        <v>996.8</v>
      </c>
      <c r="G26" s="46">
        <f>SUM(G15:G25)</f>
        <v>7288.2</v>
      </c>
      <c r="H26" s="47">
        <f>SUM(H15:H25)</f>
        <v>1.0000274423710209</v>
      </c>
      <c r="I26" s="36">
        <f t="shared" ref="I26" si="9">SUM(I15:I25)</f>
        <v>20809.53</v>
      </c>
      <c r="J26" s="46">
        <f>SUM(J15:J25)</f>
        <v>7490.2</v>
      </c>
      <c r="K26" s="46">
        <f>SUM(K15:K25)</f>
        <v>20936.559999999994</v>
      </c>
      <c r="L26" s="48">
        <f>+(I26-J26)/J26</f>
        <v>1.7782342260553787</v>
      </c>
      <c r="M26" s="49">
        <f>+K26/I26</f>
        <v>1.0061044146600138</v>
      </c>
      <c r="N26" s="39"/>
      <c r="O26" s="39"/>
      <c r="P26" s="39"/>
      <c r="Q26" s="50"/>
    </row>
    <row r="27" spans="1:17" x14ac:dyDescent="0.25">
      <c r="N27" s="39"/>
      <c r="O27" s="39"/>
    </row>
    <row r="28" spans="1:17" x14ac:dyDescent="0.25">
      <c r="N28" s="39"/>
    </row>
    <row r="29" spans="1:17" x14ac:dyDescent="0.25">
      <c r="A29" t="s">
        <v>28</v>
      </c>
      <c r="N29" s="39"/>
    </row>
    <row r="30" spans="1:17" x14ac:dyDescent="0.25">
      <c r="N30" s="39"/>
    </row>
    <row r="73" spans="1:15" x14ac:dyDescent="0.25">
      <c r="J73" s="51"/>
      <c r="N73" s="39"/>
      <c r="O73" s="39"/>
    </row>
    <row r="74" spans="1:15" x14ac:dyDescent="0.25">
      <c r="A74" t="s">
        <v>21</v>
      </c>
      <c r="K74" s="40"/>
      <c r="M74" s="40"/>
      <c r="N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M2"/>
    <mergeCell ref="B12:H12"/>
    <mergeCell ref="J12:M12"/>
    <mergeCell ref="A13:A14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topLeftCell="A4" zoomScaleNormal="100" workbookViewId="0">
      <selection activeCell="O18" sqref="O18"/>
    </sheetView>
  </sheetViews>
  <sheetFormatPr defaultRowHeight="15" x14ac:dyDescent="0.25"/>
  <cols>
    <col min="1" max="1" width="30.140625" bestFit="1" customWidth="1"/>
    <col min="2" max="2" width="10.5703125" bestFit="1" customWidth="1"/>
    <col min="3" max="3" width="10.5703125" customWidth="1"/>
    <col min="4" max="4" width="10.5703125" bestFit="1" customWidth="1"/>
    <col min="5" max="6" width="10.5703125" customWidth="1"/>
    <col min="7" max="7" width="10.5703125" bestFit="1" customWidth="1"/>
    <col min="8" max="8" width="11.7109375" bestFit="1" customWidth="1"/>
    <col min="9" max="9" width="10.7109375" bestFit="1" customWidth="1"/>
    <col min="10" max="10" width="10.5703125" bestFit="1" customWidth="1"/>
    <col min="11" max="11" width="8.28515625" bestFit="1" customWidth="1"/>
    <col min="12" max="12" width="12.5703125" bestFit="1" customWidth="1"/>
    <col min="13" max="13" width="11.42578125" customWidth="1"/>
    <col min="14" max="14" width="9.140625" customWidth="1"/>
    <col min="15" max="15" width="11.140625" bestFit="1" customWidth="1"/>
    <col min="16" max="16" width="10.5703125" bestFit="1" customWidth="1"/>
  </cols>
  <sheetData>
    <row r="1" spans="1:18" ht="15.75" thickBot="1" x14ac:dyDescent="0.3"/>
    <row r="2" spans="1:18" ht="19.5" thickBot="1" x14ac:dyDescent="0.35">
      <c r="A2" s="80" t="s">
        <v>45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18" x14ac:dyDescent="0.25">
      <c r="N3" s="39"/>
      <c r="O3" s="39"/>
    </row>
    <row r="4" spans="1:18" x14ac:dyDescent="0.25">
      <c r="A4" s="20" t="s">
        <v>8</v>
      </c>
      <c r="B4" s="21">
        <v>2.8</v>
      </c>
      <c r="C4" s="3"/>
      <c r="D4" s="79"/>
      <c r="E4" s="3"/>
      <c r="F4" s="3"/>
      <c r="H4" s="2"/>
      <c r="I4" s="39"/>
      <c r="J4" s="39"/>
      <c r="K4" s="3"/>
      <c r="L4" s="3"/>
      <c r="M4" s="3"/>
      <c r="N4" s="39"/>
      <c r="O4" s="39"/>
    </row>
    <row r="5" spans="1:18" x14ac:dyDescent="0.25">
      <c r="A5" s="20" t="s">
        <v>22</v>
      </c>
      <c r="B5" s="22">
        <f>9*1024</f>
        <v>9216</v>
      </c>
      <c r="C5" s="3"/>
      <c r="D5" s="79"/>
      <c r="E5" s="3"/>
      <c r="F5" s="3"/>
      <c r="H5" s="2"/>
      <c r="I5" s="39"/>
      <c r="J5" s="39"/>
      <c r="K5" s="6"/>
      <c r="L5" s="6"/>
      <c r="M5" s="6"/>
      <c r="N5" s="39"/>
      <c r="O5" s="39"/>
    </row>
    <row r="6" spans="1:18" x14ac:dyDescent="0.25">
      <c r="A6" s="20" t="s">
        <v>9</v>
      </c>
      <c r="B6" s="22">
        <f>12*1024</f>
        <v>12288</v>
      </c>
      <c r="C6" s="3"/>
      <c r="D6" s="3"/>
      <c r="E6" s="3"/>
      <c r="F6" s="3"/>
      <c r="I6" s="39"/>
      <c r="J6" s="39"/>
      <c r="K6" s="6"/>
      <c r="L6" s="6"/>
      <c r="M6" s="6"/>
      <c r="N6" s="39"/>
      <c r="O6" s="39"/>
      <c r="P6" s="2"/>
      <c r="Q6" s="4"/>
      <c r="R6" s="4"/>
    </row>
    <row r="7" spans="1:18" x14ac:dyDescent="0.25">
      <c r="A7" s="20" t="s">
        <v>23</v>
      </c>
      <c r="B7" s="22">
        <f>6033+4490</f>
        <v>10523</v>
      </c>
      <c r="C7" s="3"/>
      <c r="D7" s="3"/>
      <c r="E7" s="3"/>
      <c r="F7" s="3"/>
      <c r="G7" s="40"/>
      <c r="H7" s="2"/>
      <c r="I7" s="39"/>
      <c r="J7" s="39"/>
      <c r="K7" s="6"/>
      <c r="L7" s="6"/>
      <c r="M7" s="6"/>
      <c r="N7" s="39"/>
      <c r="O7" s="39"/>
      <c r="P7" s="5"/>
      <c r="Q7" s="4"/>
      <c r="R7" s="4"/>
    </row>
    <row r="8" spans="1:18" x14ac:dyDescent="0.25">
      <c r="A8" s="20" t="s">
        <v>24</v>
      </c>
      <c r="B8" s="22">
        <v>25200</v>
      </c>
      <c r="C8" s="3"/>
      <c r="D8" s="3"/>
      <c r="E8" s="3"/>
      <c r="F8" s="3"/>
      <c r="H8" s="2"/>
      <c r="I8" s="39"/>
      <c r="J8" s="39"/>
      <c r="K8" s="6"/>
      <c r="L8" s="6"/>
      <c r="M8" s="6"/>
      <c r="O8" s="39"/>
    </row>
    <row r="9" spans="1:18" x14ac:dyDescent="0.25">
      <c r="A9" s="20"/>
      <c r="B9" s="56"/>
      <c r="C9" s="68"/>
      <c r="D9" s="3"/>
      <c r="E9" s="3"/>
      <c r="F9" s="3"/>
      <c r="H9" s="2"/>
      <c r="I9" s="39"/>
      <c r="J9" s="39"/>
      <c r="K9" s="6"/>
      <c r="L9" s="6"/>
      <c r="M9" s="6"/>
      <c r="O9" s="39"/>
    </row>
    <row r="10" spans="1:18" x14ac:dyDescent="0.25">
      <c r="A10" s="20"/>
      <c r="B10" s="56"/>
      <c r="C10" s="68"/>
      <c r="D10" s="4"/>
      <c r="E10" s="4"/>
      <c r="F10" s="4"/>
      <c r="G10" s="4"/>
      <c r="H10" s="4"/>
      <c r="I10" s="4"/>
      <c r="J10" s="39"/>
      <c r="K10" s="4"/>
      <c r="L10" s="4"/>
      <c r="M10" s="4"/>
      <c r="O10" s="39"/>
    </row>
    <row r="11" spans="1:18" ht="15.75" thickBot="1" x14ac:dyDescent="0.3">
      <c r="A11" s="38"/>
      <c r="B11" s="38"/>
      <c r="C11" s="38"/>
      <c r="D11" s="38"/>
      <c r="E11" s="38"/>
      <c r="F11" s="38"/>
      <c r="G11" s="4"/>
      <c r="H11" s="4"/>
      <c r="I11" s="4"/>
      <c r="J11" s="4"/>
      <c r="K11" s="4"/>
      <c r="L11" s="4"/>
      <c r="M11" s="4"/>
      <c r="O11" s="39"/>
      <c r="P11" s="39"/>
      <c r="R11" s="39"/>
    </row>
    <row r="12" spans="1:18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6"/>
      <c r="I12" s="23" t="s">
        <v>25</v>
      </c>
      <c r="J12" s="87" t="s">
        <v>11</v>
      </c>
      <c r="K12" s="88"/>
      <c r="L12" s="88"/>
      <c r="M12" s="89"/>
      <c r="O12" s="39"/>
      <c r="P12" s="39"/>
      <c r="R12" s="39"/>
    </row>
    <row r="13" spans="1:18" ht="45" x14ac:dyDescent="0.25">
      <c r="A13" s="90" t="s">
        <v>12</v>
      </c>
      <c r="B13" s="8" t="s">
        <v>32</v>
      </c>
      <c r="C13" s="69" t="s">
        <v>32</v>
      </c>
      <c r="D13" s="55" t="s">
        <v>26</v>
      </c>
      <c r="E13" s="55" t="s">
        <v>36</v>
      </c>
      <c r="F13" s="55" t="s">
        <v>41</v>
      </c>
      <c r="G13" s="55" t="s">
        <v>29</v>
      </c>
      <c r="H13" s="9" t="s">
        <v>13</v>
      </c>
      <c r="I13" s="24" t="s">
        <v>14</v>
      </c>
      <c r="J13" s="8" t="s">
        <v>15</v>
      </c>
      <c r="K13" s="55" t="s">
        <v>16</v>
      </c>
      <c r="L13" s="55" t="s">
        <v>33</v>
      </c>
      <c r="M13" s="10" t="s">
        <v>17</v>
      </c>
      <c r="O13" s="39"/>
      <c r="P13" s="39"/>
      <c r="R13" s="39"/>
    </row>
    <row r="14" spans="1:18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6</v>
      </c>
      <c r="H14" s="13" t="s">
        <v>7</v>
      </c>
      <c r="I14" s="25" t="s">
        <v>30</v>
      </c>
      <c r="J14" s="11" t="s">
        <v>6</v>
      </c>
      <c r="K14" s="12" t="s">
        <v>18</v>
      </c>
      <c r="L14" s="12" t="s">
        <v>7</v>
      </c>
      <c r="M14" s="14" t="s">
        <v>19</v>
      </c>
      <c r="N14" s="39"/>
      <c r="O14" s="39"/>
      <c r="P14" s="39"/>
      <c r="R14" s="39"/>
    </row>
    <row r="15" spans="1:18" x14ac:dyDescent="0.25">
      <c r="A15" s="1" t="s">
        <v>0</v>
      </c>
      <c r="B15" s="26">
        <v>16</v>
      </c>
      <c r="C15" s="71">
        <v>18.899999999999999</v>
      </c>
      <c r="D15" s="27">
        <f>3.2+3.4</f>
        <v>6.6</v>
      </c>
      <c r="E15" s="27">
        <v>0.6</v>
      </c>
      <c r="F15" s="27">
        <v>8.1</v>
      </c>
      <c r="G15" s="16">
        <f>SUM(B15:F15)</f>
        <v>50.2</v>
      </c>
      <c r="H15" s="67">
        <f>+G15/($B$26+$C$26)</f>
        <v>6.3074835402321958E-3</v>
      </c>
      <c r="I15" s="29">
        <v>223.75</v>
      </c>
      <c r="J15" s="15">
        <v>180</v>
      </c>
      <c r="K15" s="16">
        <v>468</v>
      </c>
      <c r="L15" s="30">
        <f t="shared" ref="L15" si="0">+(I15-J15)/J15</f>
        <v>0.24305555555555555</v>
      </c>
      <c r="M15" s="17"/>
      <c r="N15" s="39"/>
      <c r="O15" s="39"/>
      <c r="P15" s="52"/>
      <c r="R15" s="39"/>
    </row>
    <row r="16" spans="1:18" x14ac:dyDescent="0.25">
      <c r="A16" s="1" t="s">
        <v>1</v>
      </c>
      <c r="B16" s="32">
        <v>223.5</v>
      </c>
      <c r="C16" s="72">
        <v>219.4</v>
      </c>
      <c r="D16" s="33">
        <f>24.7+26.3</f>
        <v>51</v>
      </c>
      <c r="E16" s="33">
        <v>35.4</v>
      </c>
      <c r="F16" s="27">
        <v>59</v>
      </c>
      <c r="G16" s="16">
        <f t="shared" ref="G16:G22" si="1">SUM(B16:F16)</f>
        <v>588.29999999999995</v>
      </c>
      <c r="H16" s="67">
        <f t="shared" ref="H16:H22" si="2">+G16/($B$26+$C$26)</f>
        <v>7.3918178619892444E-2</v>
      </c>
      <c r="I16" s="34">
        <v>1610</v>
      </c>
      <c r="J16" s="15">
        <f>+H16*$B$5</f>
        <v>681.22993416092879</v>
      </c>
      <c r="K16" s="16">
        <f t="shared" ref="K16:K22" si="3">+J16*$B$4</f>
        <v>1907.4438156506005</v>
      </c>
      <c r="L16" s="30">
        <f>+(I16-J16)/J16</f>
        <v>1.3633723641093924</v>
      </c>
      <c r="M16" s="17">
        <f>+K16/I16</f>
        <v>1.184747711584224</v>
      </c>
      <c r="N16" s="39"/>
      <c r="O16" s="39"/>
      <c r="P16" s="53"/>
    </row>
    <row r="17" spans="1:17" x14ac:dyDescent="0.25">
      <c r="A17" s="1" t="s">
        <v>2</v>
      </c>
      <c r="B17" s="32">
        <v>850.5</v>
      </c>
      <c r="C17" s="72">
        <v>933</v>
      </c>
      <c r="D17" s="33">
        <f>158+168.8</f>
        <v>326.8</v>
      </c>
      <c r="E17" s="33">
        <v>114.7</v>
      </c>
      <c r="F17" s="27">
        <v>366</v>
      </c>
      <c r="G17" s="16">
        <f t="shared" si="1"/>
        <v>2591</v>
      </c>
      <c r="H17" s="67">
        <f t="shared" si="2"/>
        <v>0.32555159069206413</v>
      </c>
      <c r="I17" s="34">
        <v>6710</v>
      </c>
      <c r="J17" s="15">
        <f>+H17*$B$5</f>
        <v>3000.283459818063</v>
      </c>
      <c r="K17" s="16">
        <f t="shared" si="3"/>
        <v>8400.7936874905754</v>
      </c>
      <c r="L17" s="30">
        <f>+(I17-J17)/J17</f>
        <v>1.2364553515909773</v>
      </c>
      <c r="M17" s="17">
        <f t="shared" ref="M17:M18" si="4">+K17/I17</f>
        <v>1.2519811754829471</v>
      </c>
      <c r="N17" s="39"/>
      <c r="O17" s="39"/>
      <c r="P17" s="52"/>
    </row>
    <row r="18" spans="1:17" x14ac:dyDescent="0.25">
      <c r="A18" s="1" t="s">
        <v>3</v>
      </c>
      <c r="B18" s="32">
        <v>785.7</v>
      </c>
      <c r="C18" s="33">
        <v>887.5</v>
      </c>
      <c r="D18" s="33">
        <f>144.4+154.3</f>
        <v>298.70000000000005</v>
      </c>
      <c r="E18" s="33">
        <v>191.5</v>
      </c>
      <c r="F18" s="27">
        <v>377.5</v>
      </c>
      <c r="G18" s="16">
        <f t="shared" si="1"/>
        <v>2540.9</v>
      </c>
      <c r="H18" s="67">
        <f t="shared" si="2"/>
        <v>0.31925667186007939</v>
      </c>
      <c r="I18" s="34">
        <v>7760</v>
      </c>
      <c r="J18" s="15">
        <f>+H18*$B$5</f>
        <v>2942.2694878624916</v>
      </c>
      <c r="K18" s="16">
        <f t="shared" si="3"/>
        <v>8238.3545660149757</v>
      </c>
      <c r="L18" s="30">
        <f t="shared" ref="L18:L19" si="5">+(I18-J18)/J18</f>
        <v>1.6374198665389781</v>
      </c>
      <c r="M18" s="17">
        <f t="shared" si="4"/>
        <v>1.0616436296411051</v>
      </c>
      <c r="N18" s="39"/>
      <c r="O18" s="39"/>
      <c r="P18" s="52"/>
    </row>
    <row r="19" spans="1:17" x14ac:dyDescent="0.25">
      <c r="A19" s="1" t="s">
        <v>4</v>
      </c>
      <c r="B19" s="32">
        <v>149.5</v>
      </c>
      <c r="C19" s="33">
        <v>181.7</v>
      </c>
      <c r="D19" s="33">
        <f>28.5+30.4</f>
        <v>58.9</v>
      </c>
      <c r="E19" s="33">
        <v>16.8</v>
      </c>
      <c r="F19" s="27">
        <v>80.099999999999994</v>
      </c>
      <c r="G19" s="16">
        <f t="shared" si="1"/>
        <v>487</v>
      </c>
      <c r="H19" s="67">
        <f t="shared" si="2"/>
        <v>6.1190129165200779E-2</v>
      </c>
      <c r="I19" s="34">
        <v>1250</v>
      </c>
      <c r="J19" s="15">
        <f>+H19*$B$5</f>
        <v>563.92823038649044</v>
      </c>
      <c r="K19" s="16">
        <f t="shared" si="3"/>
        <v>1578.9990450821731</v>
      </c>
      <c r="L19" s="30">
        <f t="shared" si="5"/>
        <v>1.2165941207506275</v>
      </c>
      <c r="M19" s="17">
        <f>+K19/I19</f>
        <v>1.2631992360657385</v>
      </c>
      <c r="N19" s="39"/>
      <c r="O19" s="39"/>
      <c r="P19" s="54"/>
    </row>
    <row r="20" spans="1:17" x14ac:dyDescent="0.25">
      <c r="A20" s="1" t="s">
        <v>21</v>
      </c>
      <c r="B20" s="32">
        <v>4.8</v>
      </c>
      <c r="C20" s="33">
        <v>5.3</v>
      </c>
      <c r="D20" s="33">
        <f>2.2+2.3</f>
        <v>4.5</v>
      </c>
      <c r="E20" s="33">
        <v>0.7</v>
      </c>
      <c r="F20" s="27">
        <v>6.4</v>
      </c>
      <c r="G20" s="16">
        <f t="shared" si="1"/>
        <v>21.7</v>
      </c>
      <c r="H20" s="67">
        <f t="shared" si="2"/>
        <v>2.7265416897019651E-3</v>
      </c>
      <c r="I20" s="34">
        <v>77.59</v>
      </c>
      <c r="J20" s="15">
        <v>100</v>
      </c>
      <c r="K20" s="16">
        <f t="shared" si="3"/>
        <v>280</v>
      </c>
      <c r="L20" s="30"/>
      <c r="M20" s="17"/>
      <c r="N20" s="39"/>
      <c r="O20" s="39"/>
      <c r="P20" s="52"/>
    </row>
    <row r="21" spans="1:17" x14ac:dyDescent="0.25">
      <c r="A21" s="31" t="s">
        <v>35</v>
      </c>
      <c r="B21" s="32">
        <v>270.60000000000002</v>
      </c>
      <c r="C21" s="33">
        <v>314.5</v>
      </c>
      <c r="D21" s="33">
        <f>67.9+72.5</f>
        <v>140.4</v>
      </c>
      <c r="E21" s="33">
        <v>79.099999999999994</v>
      </c>
      <c r="F21" s="27">
        <v>169.3</v>
      </c>
      <c r="G21" s="16">
        <f t="shared" si="1"/>
        <v>973.90000000000009</v>
      </c>
      <c r="H21" s="67">
        <f>+G21/($B$26+$C$26)</f>
        <v>0.12236769362215411</v>
      </c>
      <c r="I21" s="34">
        <v>3160</v>
      </c>
      <c r="J21" s="15">
        <f>+H21*$B$5</f>
        <v>1127.7406644217722</v>
      </c>
      <c r="K21" s="16">
        <f t="shared" si="3"/>
        <v>3157.6738603809617</v>
      </c>
      <c r="L21" s="30">
        <f t="shared" ref="L21:L22" si="6">+(I21-J21)/J21</f>
        <v>1.802062654732975</v>
      </c>
      <c r="M21" s="17">
        <f t="shared" ref="M21:M22" si="7">+K21/I21</f>
        <v>0.99926387986739296</v>
      </c>
      <c r="N21" s="39"/>
      <c r="O21" s="39"/>
      <c r="P21" s="54"/>
    </row>
    <row r="22" spans="1:17" x14ac:dyDescent="0.25">
      <c r="A22" s="31" t="s">
        <v>39</v>
      </c>
      <c r="B22" s="32">
        <v>209.7</v>
      </c>
      <c r="C22" s="33">
        <v>227.9</v>
      </c>
      <c r="D22" s="33">
        <f>54.2+58</f>
        <v>112.2</v>
      </c>
      <c r="E22" s="33">
        <v>46.5</v>
      </c>
      <c r="F22" s="27">
        <v>109.7</v>
      </c>
      <c r="G22" s="16">
        <f t="shared" si="1"/>
        <v>706.00000000000011</v>
      </c>
      <c r="H22" s="67">
        <f t="shared" si="2"/>
        <v>8.8706840227169931E-2</v>
      </c>
      <c r="I22" s="34">
        <v>2070</v>
      </c>
      <c r="J22" s="15">
        <f>+H22*$B$5</f>
        <v>817.52223953359805</v>
      </c>
      <c r="K22" s="16">
        <f t="shared" si="3"/>
        <v>2289.0622706940744</v>
      </c>
      <c r="L22" s="30">
        <f t="shared" si="6"/>
        <v>1.5320412092776201</v>
      </c>
      <c r="M22" s="17">
        <f t="shared" si="7"/>
        <v>1.105827183910181</v>
      </c>
      <c r="N22" s="39"/>
      <c r="O22" s="39"/>
      <c r="P22" s="54"/>
    </row>
    <row r="23" spans="1:17" x14ac:dyDescent="0.25">
      <c r="A23" s="31" t="s">
        <v>5</v>
      </c>
      <c r="B23" s="32">
        <v>482.9</v>
      </c>
      <c r="C23" s="33">
        <v>515.9</v>
      </c>
      <c r="D23" s="33"/>
      <c r="E23" s="33"/>
      <c r="F23" s="27"/>
      <c r="G23" s="16"/>
      <c r="H23" s="28"/>
      <c r="I23" s="34"/>
      <c r="J23" s="15"/>
      <c r="K23" s="16"/>
      <c r="L23" s="57"/>
      <c r="M23" s="58"/>
      <c r="N23" s="39"/>
      <c r="O23" s="39"/>
      <c r="P23" s="54"/>
    </row>
    <row r="24" spans="1:17" x14ac:dyDescent="0.25">
      <c r="A24" s="19" t="s">
        <v>37</v>
      </c>
      <c r="B24" s="41">
        <v>485.4</v>
      </c>
      <c r="C24" s="33"/>
      <c r="D24" s="33"/>
      <c r="E24" s="33"/>
      <c r="F24" s="33"/>
      <c r="G24" s="18"/>
      <c r="H24" s="65"/>
      <c r="I24" s="34"/>
      <c r="J24" s="66"/>
      <c r="K24" s="18"/>
      <c r="L24" s="61"/>
      <c r="M24" s="62"/>
      <c r="N24" s="39"/>
      <c r="O24" s="39"/>
      <c r="P24" s="39"/>
    </row>
    <row r="25" spans="1:17" ht="15.75" thickBot="1" x14ac:dyDescent="0.3">
      <c r="A25" s="19" t="s">
        <v>40</v>
      </c>
      <c r="B25" s="41">
        <v>1176.0999999999999</v>
      </c>
      <c r="C25" s="73"/>
      <c r="D25" s="63"/>
      <c r="E25" s="63"/>
      <c r="F25" s="63"/>
      <c r="G25" s="44"/>
      <c r="H25" s="42"/>
      <c r="I25" s="64"/>
      <c r="J25" s="43"/>
      <c r="K25" s="44"/>
      <c r="L25" s="59"/>
      <c r="M25" s="60"/>
      <c r="N25" s="39"/>
      <c r="O25" s="39"/>
      <c r="P25" s="39"/>
    </row>
    <row r="26" spans="1:17" s="37" customFormat="1" ht="15.75" thickBot="1" x14ac:dyDescent="0.3">
      <c r="A26" s="35" t="s">
        <v>20</v>
      </c>
      <c r="B26" s="45">
        <f>SUM(B15:B25)</f>
        <v>4654.7</v>
      </c>
      <c r="C26" s="46">
        <f t="shared" ref="C26:E26" si="8">SUM(C15:C25)</f>
        <v>3304.1000000000004</v>
      </c>
      <c r="D26" s="46">
        <f t="shared" si="8"/>
        <v>999.10000000000014</v>
      </c>
      <c r="E26" s="46">
        <f t="shared" si="8"/>
        <v>485.29999999999995</v>
      </c>
      <c r="F26" s="46">
        <f>SUM(F15:F25)</f>
        <v>1176.1000000000001</v>
      </c>
      <c r="G26" s="46">
        <f>SUM(G15:G25)</f>
        <v>7959</v>
      </c>
      <c r="H26" s="47">
        <f>SUM(H15:H25)</f>
        <v>1.000025129416495</v>
      </c>
      <c r="I26" s="36">
        <f t="shared" ref="I26" si="9">SUM(I15:I25)</f>
        <v>22861.34</v>
      </c>
      <c r="J26" s="46">
        <f>SUM(J15:J25)</f>
        <v>9412.9740161833452</v>
      </c>
      <c r="K26" s="46">
        <f>SUM(K15:K25)</f>
        <v>26320.327245313358</v>
      </c>
      <c r="L26" s="48">
        <f>+(I26-J26)/J26</f>
        <v>1.4287053125500424</v>
      </c>
      <c r="M26" s="49">
        <f>+K26/I26</f>
        <v>1.1513029089857969</v>
      </c>
      <c r="N26" s="39"/>
      <c r="O26" s="39"/>
      <c r="P26" s="39"/>
      <c r="Q26" s="50"/>
    </row>
    <row r="27" spans="1:17" x14ac:dyDescent="0.25">
      <c r="N27" s="39"/>
      <c r="O27" s="39"/>
    </row>
    <row r="28" spans="1:17" x14ac:dyDescent="0.25">
      <c r="N28" s="39"/>
    </row>
    <row r="29" spans="1:17" x14ac:dyDescent="0.25">
      <c r="A29" t="s">
        <v>28</v>
      </c>
      <c r="N29" s="39"/>
    </row>
    <row r="30" spans="1:17" x14ac:dyDescent="0.25">
      <c r="N30" s="39"/>
    </row>
    <row r="73" spans="1:15" x14ac:dyDescent="0.25">
      <c r="J73" s="51"/>
      <c r="N73" s="39"/>
      <c r="O73" s="39"/>
    </row>
    <row r="74" spans="1:15" x14ac:dyDescent="0.25">
      <c r="A74" t="s">
        <v>21</v>
      </c>
      <c r="K74" s="40"/>
      <c r="M74" s="40"/>
      <c r="N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M2"/>
    <mergeCell ref="B12:H12"/>
    <mergeCell ref="J12:M12"/>
    <mergeCell ref="A13:A14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topLeftCell="A4" zoomScale="90" zoomScaleNormal="90" workbookViewId="0">
      <selection activeCell="H15" sqref="H15"/>
    </sheetView>
  </sheetViews>
  <sheetFormatPr defaultRowHeight="15" x14ac:dyDescent="0.25"/>
  <cols>
    <col min="1" max="1" width="30.140625" bestFit="1" customWidth="1"/>
    <col min="2" max="2" width="10.5703125" bestFit="1" customWidth="1"/>
    <col min="3" max="3" width="10.5703125" customWidth="1"/>
    <col min="4" max="4" width="10.5703125" bestFit="1" customWidth="1"/>
    <col min="5" max="6" width="10.5703125" customWidth="1"/>
    <col min="7" max="7" width="10.5703125" bestFit="1" customWidth="1"/>
    <col min="8" max="8" width="11.7109375" bestFit="1" customWidth="1"/>
    <col min="9" max="9" width="10.7109375" bestFit="1" customWidth="1"/>
    <col min="10" max="10" width="10.5703125" bestFit="1" customWidth="1"/>
    <col min="11" max="11" width="8.28515625" bestFit="1" customWidth="1"/>
    <col min="12" max="12" width="12.5703125" bestFit="1" customWidth="1"/>
    <col min="13" max="13" width="11.42578125" customWidth="1"/>
    <col min="14" max="14" width="9.140625" customWidth="1"/>
    <col min="15" max="15" width="11.140625" bestFit="1" customWidth="1"/>
    <col min="16" max="16" width="10.5703125" bestFit="1" customWidth="1"/>
  </cols>
  <sheetData>
    <row r="1" spans="1:18" ht="15.75" thickBot="1" x14ac:dyDescent="0.3"/>
    <row r="2" spans="1:18" ht="19.5" thickBot="1" x14ac:dyDescent="0.35">
      <c r="A2" s="80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18" x14ac:dyDescent="0.25">
      <c r="N3" s="39"/>
      <c r="O3" s="39"/>
    </row>
    <row r="4" spans="1:18" x14ac:dyDescent="0.25">
      <c r="A4" s="20" t="s">
        <v>8</v>
      </c>
      <c r="B4" s="21">
        <v>2.8</v>
      </c>
      <c r="C4" s="3"/>
      <c r="D4" s="79"/>
      <c r="E4" s="3"/>
      <c r="F4" s="3"/>
      <c r="H4" s="2"/>
      <c r="I4" s="39"/>
      <c r="J4" s="39"/>
      <c r="K4" s="3"/>
      <c r="L4" s="3"/>
      <c r="M4" s="3"/>
      <c r="N4" s="39"/>
      <c r="O4" s="39"/>
    </row>
    <row r="5" spans="1:18" x14ac:dyDescent="0.25">
      <c r="A5" s="20" t="s">
        <v>22</v>
      </c>
      <c r="B5" s="22">
        <f>9*1024</f>
        <v>9216</v>
      </c>
      <c r="C5" s="3"/>
      <c r="D5" s="79"/>
      <c r="E5" s="3"/>
      <c r="F5" s="3"/>
      <c r="H5" s="2"/>
      <c r="I5" s="39"/>
      <c r="J5" s="39"/>
      <c r="K5" s="6"/>
      <c r="L5" s="6"/>
      <c r="M5" s="6"/>
      <c r="N5" s="39"/>
      <c r="O5" s="39"/>
    </row>
    <row r="6" spans="1:18" x14ac:dyDescent="0.25">
      <c r="A6" s="20" t="s">
        <v>9</v>
      </c>
      <c r="B6" s="22">
        <f>12*1024</f>
        <v>12288</v>
      </c>
      <c r="C6" s="3"/>
      <c r="D6" s="3"/>
      <c r="E6" s="3"/>
      <c r="F6" s="3"/>
      <c r="I6" s="39"/>
      <c r="J6" s="39"/>
      <c r="K6" s="6"/>
      <c r="L6" s="6"/>
      <c r="M6" s="6"/>
      <c r="N6" s="39"/>
      <c r="O6" s="39"/>
      <c r="P6" s="2"/>
      <c r="Q6" s="4"/>
      <c r="R6" s="4"/>
    </row>
    <row r="7" spans="1:18" x14ac:dyDescent="0.25">
      <c r="A7" s="20" t="s">
        <v>23</v>
      </c>
      <c r="B7" s="22"/>
      <c r="C7" s="3"/>
      <c r="D7" s="3"/>
      <c r="E7" s="3"/>
      <c r="F7" s="3"/>
      <c r="G7" s="40"/>
      <c r="H7" s="2"/>
      <c r="I7" s="39"/>
      <c r="J7" s="39"/>
      <c r="K7" s="6"/>
      <c r="L7" s="6"/>
      <c r="M7" s="6"/>
      <c r="N7" s="39"/>
      <c r="O7" s="39"/>
      <c r="P7" s="5"/>
      <c r="Q7" s="4"/>
      <c r="R7" s="4"/>
    </row>
    <row r="8" spans="1:18" x14ac:dyDescent="0.25">
      <c r="A8" s="20" t="s">
        <v>24</v>
      </c>
      <c r="B8" s="22">
        <v>25200</v>
      </c>
      <c r="C8" s="3"/>
      <c r="D8" s="3"/>
      <c r="E8" s="3"/>
      <c r="F8" s="3"/>
      <c r="H8" s="2"/>
      <c r="I8" s="39"/>
      <c r="J8" s="39"/>
      <c r="K8" s="6"/>
      <c r="L8" s="6"/>
      <c r="M8" s="6"/>
      <c r="O8" s="39"/>
    </row>
    <row r="9" spans="1:18" x14ac:dyDescent="0.25">
      <c r="A9" s="20"/>
      <c r="B9" s="56"/>
      <c r="C9" s="68"/>
      <c r="D9" s="3"/>
      <c r="E9" s="3"/>
      <c r="F9" s="3"/>
      <c r="H9" s="2"/>
      <c r="I9" s="39"/>
      <c r="J9" s="39"/>
      <c r="K9" s="6"/>
      <c r="L9" s="6"/>
      <c r="M9" s="6"/>
      <c r="O9" s="39"/>
    </row>
    <row r="10" spans="1:18" x14ac:dyDescent="0.25">
      <c r="A10" s="20"/>
      <c r="B10" s="56"/>
      <c r="C10" s="68"/>
      <c r="D10" s="4"/>
      <c r="E10" s="4"/>
      <c r="F10" s="4"/>
      <c r="G10" s="4"/>
      <c r="H10" s="4"/>
      <c r="I10" s="4"/>
      <c r="J10" s="39"/>
      <c r="K10" s="4"/>
      <c r="L10" s="4"/>
      <c r="M10" s="4"/>
      <c r="O10" s="39"/>
    </row>
    <row r="11" spans="1:18" ht="15.75" thickBot="1" x14ac:dyDescent="0.3">
      <c r="A11" s="38"/>
      <c r="B11" s="38"/>
      <c r="C11" s="38"/>
      <c r="D11" s="38"/>
      <c r="E11" s="38"/>
      <c r="F11" s="38"/>
      <c r="G11" s="4"/>
      <c r="H11" s="4"/>
      <c r="I11" s="4"/>
      <c r="J11" s="4"/>
      <c r="K11" s="4"/>
      <c r="L11" s="4"/>
      <c r="M11" s="4"/>
      <c r="O11" s="39"/>
      <c r="P11" s="39"/>
      <c r="R11" s="39"/>
    </row>
    <row r="12" spans="1:18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6"/>
      <c r="I12" s="23" t="s">
        <v>25</v>
      </c>
      <c r="J12" s="87" t="s">
        <v>11</v>
      </c>
      <c r="K12" s="88"/>
      <c r="L12" s="88"/>
      <c r="M12" s="89"/>
      <c r="O12" s="39"/>
      <c r="P12" s="39"/>
      <c r="R12" s="39"/>
    </row>
    <row r="13" spans="1:18" ht="45" x14ac:dyDescent="0.25">
      <c r="A13" s="90" t="s">
        <v>12</v>
      </c>
      <c r="B13" s="8" t="s">
        <v>32</v>
      </c>
      <c r="C13" s="69" t="s">
        <v>32</v>
      </c>
      <c r="D13" s="55" t="s">
        <v>26</v>
      </c>
      <c r="E13" s="55" t="s">
        <v>36</v>
      </c>
      <c r="F13" s="55" t="s">
        <v>41</v>
      </c>
      <c r="G13" s="55" t="s">
        <v>29</v>
      </c>
      <c r="H13" s="9" t="s">
        <v>13</v>
      </c>
      <c r="I13" s="24" t="s">
        <v>14</v>
      </c>
      <c r="J13" s="8" t="s">
        <v>15</v>
      </c>
      <c r="K13" s="55" t="s">
        <v>16</v>
      </c>
      <c r="L13" s="55" t="s">
        <v>33</v>
      </c>
      <c r="M13" s="10" t="s">
        <v>17</v>
      </c>
      <c r="O13" s="39"/>
      <c r="P13" s="39"/>
      <c r="R13" s="39"/>
    </row>
    <row r="14" spans="1:18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6</v>
      </c>
      <c r="H14" s="13" t="s">
        <v>7</v>
      </c>
      <c r="I14" s="25" t="s">
        <v>30</v>
      </c>
      <c r="J14" s="11" t="s">
        <v>6</v>
      </c>
      <c r="K14" s="12" t="s">
        <v>18</v>
      </c>
      <c r="L14" s="12" t="s">
        <v>7</v>
      </c>
      <c r="M14" s="14" t="s">
        <v>19</v>
      </c>
      <c r="N14" s="39"/>
      <c r="O14" s="39"/>
      <c r="P14" s="39"/>
      <c r="R14" s="39"/>
    </row>
    <row r="15" spans="1:18" x14ac:dyDescent="0.25">
      <c r="A15" s="1" t="s">
        <v>0</v>
      </c>
      <c r="B15" s="26">
        <f>14.1+15.8</f>
        <v>29.9</v>
      </c>
      <c r="C15" s="71"/>
      <c r="D15" s="27">
        <f>3.2+3.1</f>
        <v>6.3000000000000007</v>
      </c>
      <c r="E15" s="27">
        <f>0.5+0.3</f>
        <v>0.8</v>
      </c>
      <c r="F15" s="27">
        <f>6.8+3.7</f>
        <v>10.5</v>
      </c>
      <c r="G15" s="16">
        <f>SUM(B15:F15)</f>
        <v>47.5</v>
      </c>
      <c r="H15" s="67">
        <f>+G15/($B$26+$C$26)</f>
        <v>5.5402631333395539E-3</v>
      </c>
      <c r="I15" s="29">
        <v>223.75</v>
      </c>
      <c r="J15" s="15">
        <v>180</v>
      </c>
      <c r="K15" s="16">
        <v>468</v>
      </c>
      <c r="L15" s="30">
        <f t="shared" ref="L15" si="0">+(I15-J15)/J15</f>
        <v>0.24305555555555555</v>
      </c>
      <c r="M15" s="17"/>
      <c r="N15" s="39"/>
      <c r="O15" s="39"/>
      <c r="P15" s="52"/>
      <c r="R15" s="39"/>
    </row>
    <row r="16" spans="1:18" x14ac:dyDescent="0.25">
      <c r="A16" s="1" t="s">
        <v>1</v>
      </c>
      <c r="B16" s="32">
        <f>255+245.9</f>
        <v>500.9</v>
      </c>
      <c r="C16" s="72"/>
      <c r="D16" s="33">
        <f>25.3+24.2</f>
        <v>49.5</v>
      </c>
      <c r="E16" s="33">
        <f>29.6+15.8</f>
        <v>45.400000000000006</v>
      </c>
      <c r="F16" s="27">
        <f>55.8+30</f>
        <v>85.8</v>
      </c>
      <c r="G16" s="16">
        <f t="shared" ref="G16:G22" si="1">SUM(B16:F16)</f>
        <v>681.59999999999991</v>
      </c>
      <c r="H16" s="67">
        <f t="shared" ref="H16:H25" si="2">+G16/($B$26+$C$26)</f>
        <v>7.949986003545767E-2</v>
      </c>
      <c r="I16" s="34">
        <v>1610</v>
      </c>
      <c r="J16" s="15">
        <f>+H16*$B$5</f>
        <v>732.67071008677794</v>
      </c>
      <c r="K16" s="16">
        <f t="shared" ref="K16:K25" si="3">+J16*$B$4</f>
        <v>2051.477988242978</v>
      </c>
      <c r="L16" s="30">
        <f>+(I16-J16)/J16</f>
        <v>1.1974401021289778</v>
      </c>
      <c r="M16" s="17">
        <f>+K16/I16</f>
        <v>1.2742099305857006</v>
      </c>
      <c r="N16" s="39"/>
      <c r="O16" s="39"/>
      <c r="P16" s="53"/>
    </row>
    <row r="17" spans="1:17" x14ac:dyDescent="0.25">
      <c r="A17" s="1" t="s">
        <v>2</v>
      </c>
      <c r="B17" s="32">
        <f>805.8+805.1</f>
        <v>1610.9</v>
      </c>
      <c r="C17" s="72"/>
      <c r="D17" s="33">
        <f>157.4+150.2</f>
        <v>307.60000000000002</v>
      </c>
      <c r="E17" s="33">
        <f>101.8+54.5</f>
        <v>156.30000000000001</v>
      </c>
      <c r="F17" s="27">
        <f>337.3+181</f>
        <v>518.29999999999995</v>
      </c>
      <c r="G17" s="16">
        <f t="shared" si="1"/>
        <v>2593.1000000000004</v>
      </c>
      <c r="H17" s="67">
        <f t="shared" si="2"/>
        <v>0.30245171223290102</v>
      </c>
      <c r="I17" s="34">
        <v>6710</v>
      </c>
      <c r="J17" s="15">
        <f>+H17*$B$5</f>
        <v>2787.3949799384159</v>
      </c>
      <c r="K17" s="16">
        <f t="shared" si="3"/>
        <v>7804.7059438275637</v>
      </c>
      <c r="L17" s="30">
        <f>+(I17-J17)/J17</f>
        <v>1.407265582485999</v>
      </c>
      <c r="M17" s="17">
        <f t="shared" ref="M17:M18" si="4">+K17/I17</f>
        <v>1.1631454461740036</v>
      </c>
      <c r="N17" s="39"/>
      <c r="O17" s="39"/>
      <c r="P17" s="52"/>
    </row>
    <row r="18" spans="1:17" x14ac:dyDescent="0.25">
      <c r="A18" s="1" t="s">
        <v>3</v>
      </c>
      <c r="B18" s="32">
        <f>785.3+778</f>
        <v>1563.3</v>
      </c>
      <c r="C18" s="33"/>
      <c r="D18" s="33">
        <f>152.9+145.9</f>
        <v>298.8</v>
      </c>
      <c r="E18" s="33">
        <f>174.6+93.5</f>
        <v>268.10000000000002</v>
      </c>
      <c r="F18" s="27">
        <f>370.5+198.8</f>
        <v>569.29999999999995</v>
      </c>
      <c r="G18" s="16">
        <f t="shared" si="1"/>
        <v>2699.5</v>
      </c>
      <c r="H18" s="67">
        <f t="shared" si="2"/>
        <v>0.31486190165158157</v>
      </c>
      <c r="I18" s="34">
        <v>7760</v>
      </c>
      <c r="J18" s="15">
        <f>+H18*$B$5</f>
        <v>2901.7672856209756</v>
      </c>
      <c r="K18" s="16">
        <f t="shared" si="3"/>
        <v>8124.9483997387315</v>
      </c>
      <c r="L18" s="30">
        <f t="shared" ref="L18:L19" si="5">+(I18-J18)/J18</f>
        <v>1.674232368134017</v>
      </c>
      <c r="M18" s="17">
        <f t="shared" si="4"/>
        <v>1.0470294329560221</v>
      </c>
      <c r="N18" s="39"/>
      <c r="O18" s="39">
        <v>811.2</v>
      </c>
      <c r="P18" s="52">
        <v>673.9</v>
      </c>
    </row>
    <row r="19" spans="1:17" x14ac:dyDescent="0.25">
      <c r="A19" s="1" t="s">
        <v>4</v>
      </c>
      <c r="B19" s="32">
        <f>165.6+161.8</f>
        <v>327.39999999999998</v>
      </c>
      <c r="C19" s="33"/>
      <c r="D19" s="33">
        <f>30+28.7</f>
        <v>58.7</v>
      </c>
      <c r="E19" s="33">
        <f>15.6+8.4</f>
        <v>24</v>
      </c>
      <c r="F19" s="27">
        <f>73.8+39.6</f>
        <v>113.4</v>
      </c>
      <c r="G19" s="16">
        <f t="shared" si="1"/>
        <v>523.5</v>
      </c>
      <c r="H19" s="67">
        <f t="shared" si="2"/>
        <v>6.1059531585331714E-2</v>
      </c>
      <c r="I19" s="34">
        <v>1250</v>
      </c>
      <c r="J19" s="15">
        <f>+H19*$B$5</f>
        <v>562.72464309041709</v>
      </c>
      <c r="K19" s="16">
        <f t="shared" si="3"/>
        <v>1575.6290006531679</v>
      </c>
      <c r="L19" s="30">
        <f t="shared" si="5"/>
        <v>1.2213350976334501</v>
      </c>
      <c r="M19" s="17">
        <f>+K19/I19</f>
        <v>1.2605032005225343</v>
      </c>
      <c r="N19" s="39"/>
      <c r="O19" s="39">
        <v>219.6</v>
      </c>
      <c r="P19" s="54">
        <v>161.19999999999999</v>
      </c>
    </row>
    <row r="20" spans="1:17" x14ac:dyDescent="0.25">
      <c r="A20" s="1" t="s">
        <v>21</v>
      </c>
      <c r="B20" s="32">
        <f>4.4+4.5</f>
        <v>8.9</v>
      </c>
      <c r="C20" s="33"/>
      <c r="D20" s="33">
        <f>2.2+2.1</f>
        <v>4.3000000000000007</v>
      </c>
      <c r="E20" s="33">
        <f>0.3+0.2</f>
        <v>0.5</v>
      </c>
      <c r="F20" s="27">
        <f>5.3+2.9</f>
        <v>8.1999999999999993</v>
      </c>
      <c r="G20" s="16">
        <f t="shared" si="1"/>
        <v>21.9</v>
      </c>
      <c r="H20" s="67">
        <f t="shared" si="2"/>
        <v>2.5543528972660256E-3</v>
      </c>
      <c r="I20" s="34">
        <v>77.59</v>
      </c>
      <c r="J20" s="15">
        <v>100</v>
      </c>
      <c r="K20" s="16">
        <f t="shared" si="3"/>
        <v>280</v>
      </c>
      <c r="L20" s="30"/>
      <c r="M20" s="17"/>
      <c r="N20" s="39"/>
      <c r="O20" s="39">
        <v>239.3</v>
      </c>
      <c r="P20" s="52">
        <v>201.6</v>
      </c>
    </row>
    <row r="21" spans="1:17" x14ac:dyDescent="0.25">
      <c r="A21" s="31" t="s">
        <v>35</v>
      </c>
      <c r="B21" s="32">
        <f>341+329.5</f>
        <v>670.5</v>
      </c>
      <c r="C21" s="33"/>
      <c r="D21" s="33">
        <f>84.8+80.9</f>
        <v>165.7</v>
      </c>
      <c r="E21" s="33">
        <f>86.5+46.3</f>
        <v>132.80000000000001</v>
      </c>
      <c r="F21" s="27">
        <f>187.3+105.5</f>
        <v>292.8</v>
      </c>
      <c r="G21" s="16">
        <f t="shared" si="1"/>
        <v>1261.8</v>
      </c>
      <c r="H21" s="67">
        <f>+G21/($B$26+$C$26)</f>
        <v>0.14717271624521786</v>
      </c>
      <c r="I21" s="34">
        <v>3160</v>
      </c>
      <c r="J21" s="15">
        <f>+H21*$B$5</f>
        <v>1356.3437529159278</v>
      </c>
      <c r="K21" s="16">
        <f t="shared" si="3"/>
        <v>3797.7625081645974</v>
      </c>
      <c r="L21" s="30">
        <f t="shared" ref="L21:L22" si="6">+(I21-J21)/J21</f>
        <v>1.3297928664518064</v>
      </c>
      <c r="M21" s="17">
        <f t="shared" ref="M21:M22" si="7">+K21/I21</f>
        <v>1.2018235785331004</v>
      </c>
      <c r="N21" s="39"/>
      <c r="O21" s="39">
        <v>109</v>
      </c>
      <c r="P21" s="54">
        <v>95.6</v>
      </c>
    </row>
    <row r="22" spans="1:17" x14ac:dyDescent="0.25">
      <c r="A22" s="31" t="s">
        <v>39</v>
      </c>
      <c r="B22" s="32">
        <f>204.8+203.8</f>
        <v>408.6</v>
      </c>
      <c r="C22" s="33"/>
      <c r="D22" s="33">
        <f>56.6+54</f>
        <v>110.6</v>
      </c>
      <c r="E22" s="33">
        <f>42.7+22.8</f>
        <v>65.5</v>
      </c>
      <c r="F22" s="27">
        <f>107.6+57.7</f>
        <v>165.3</v>
      </c>
      <c r="G22" s="16">
        <f t="shared" si="1"/>
        <v>750</v>
      </c>
      <c r="H22" s="67">
        <f t="shared" si="2"/>
        <v>8.7477838947466635E-2</v>
      </c>
      <c r="I22" s="34">
        <v>2070</v>
      </c>
      <c r="J22" s="15">
        <f>+H22*$B$5</f>
        <v>806.19576373985251</v>
      </c>
      <c r="K22" s="16">
        <f t="shared" si="3"/>
        <v>2257.3481384715869</v>
      </c>
      <c r="L22" s="30">
        <f t="shared" si="6"/>
        <v>1.5676145833333335</v>
      </c>
      <c r="M22" s="17">
        <f t="shared" si="7"/>
        <v>1.0905063470877232</v>
      </c>
      <c r="O22" s="39"/>
      <c r="P22" s="54"/>
    </row>
    <row r="23" spans="1:17" x14ac:dyDescent="0.25">
      <c r="A23" s="31" t="s">
        <v>5</v>
      </c>
      <c r="B23" s="32">
        <f>512.4+488.8</f>
        <v>1001.2</v>
      </c>
      <c r="C23" s="33"/>
      <c r="D23" s="33"/>
      <c r="E23" s="33"/>
      <c r="F23" s="27"/>
      <c r="G23" s="16"/>
      <c r="H23" s="28">
        <f t="shared" si="2"/>
        <v>0</v>
      </c>
      <c r="I23" s="34"/>
      <c r="J23" s="15">
        <f>+H23*$B$5</f>
        <v>0</v>
      </c>
      <c r="K23" s="16">
        <f t="shared" si="3"/>
        <v>0</v>
      </c>
      <c r="L23" s="57"/>
      <c r="M23" s="58"/>
      <c r="N23" s="39"/>
      <c r="O23" s="39"/>
      <c r="P23" s="54"/>
    </row>
    <row r="24" spans="1:17" x14ac:dyDescent="0.25">
      <c r="A24" s="19" t="s">
        <v>37</v>
      </c>
      <c r="B24" s="41">
        <f>451.5+241.8</f>
        <v>693.3</v>
      </c>
      <c r="C24" s="33"/>
      <c r="D24" s="33"/>
      <c r="E24" s="33"/>
      <c r="F24" s="33"/>
      <c r="G24" s="18"/>
      <c r="H24" s="65">
        <f t="shared" si="2"/>
        <v>0</v>
      </c>
      <c r="I24" s="34"/>
      <c r="J24" s="66">
        <f>+H24*$B$5</f>
        <v>0</v>
      </c>
      <c r="K24" s="18">
        <f t="shared" si="3"/>
        <v>0</v>
      </c>
      <c r="L24" s="61"/>
      <c r="M24" s="62"/>
      <c r="N24" s="39"/>
      <c r="O24" s="39"/>
      <c r="P24" s="39"/>
    </row>
    <row r="25" spans="1:17" ht="15.75" thickBot="1" x14ac:dyDescent="0.3">
      <c r="A25" s="19" t="s">
        <v>40</v>
      </c>
      <c r="B25" s="41">
        <f>1144.5+614.2</f>
        <v>1758.7</v>
      </c>
      <c r="C25" s="73"/>
      <c r="D25" s="63"/>
      <c r="E25" s="63"/>
      <c r="F25" s="63"/>
      <c r="G25" s="44"/>
      <c r="H25" s="42">
        <f t="shared" si="2"/>
        <v>0</v>
      </c>
      <c r="I25" s="64"/>
      <c r="J25" s="43">
        <f>+H25*$B$5</f>
        <v>0</v>
      </c>
      <c r="K25" s="44">
        <f t="shared" si="3"/>
        <v>0</v>
      </c>
      <c r="L25" s="59"/>
      <c r="M25" s="60"/>
      <c r="N25" s="39"/>
      <c r="O25" s="39"/>
      <c r="P25" s="39"/>
    </row>
    <row r="26" spans="1:17" s="37" customFormat="1" ht="15.75" thickBot="1" x14ac:dyDescent="0.3">
      <c r="A26" s="35" t="s">
        <v>20</v>
      </c>
      <c r="B26" s="45">
        <f>SUM(B15:B25)</f>
        <v>8573.6</v>
      </c>
      <c r="C26" s="46">
        <f t="shared" ref="C26:E26" si="8">SUM(C15:C25)</f>
        <v>0</v>
      </c>
      <c r="D26" s="46">
        <f t="shared" si="8"/>
        <v>1001.5000000000001</v>
      </c>
      <c r="E26" s="46">
        <f t="shared" si="8"/>
        <v>693.40000000000009</v>
      </c>
      <c r="F26" s="46">
        <f>SUM(F15:F25)</f>
        <v>1763.6</v>
      </c>
      <c r="G26" s="46">
        <f>SUM(G15:G25)</f>
        <v>8578.9000000000015</v>
      </c>
      <c r="H26" s="47">
        <f>SUM(H15:H25)</f>
        <v>1.000618176728562</v>
      </c>
      <c r="I26" s="36">
        <f t="shared" ref="I26" si="9">SUM(I15:I25)</f>
        <v>22861.34</v>
      </c>
      <c r="J26" s="46">
        <f>SUM(J15:J25)</f>
        <v>9427.0971353923669</v>
      </c>
      <c r="K26" s="46">
        <f>SUM(K15:K25)</f>
        <v>26359.871979098622</v>
      </c>
      <c r="L26" s="48">
        <f>+(I26-J26)/J26</f>
        <v>1.4250667699361181</v>
      </c>
      <c r="M26" s="49">
        <f>+K26/I26</f>
        <v>1.1530326734609004</v>
      </c>
      <c r="N26" s="39"/>
      <c r="O26" s="39"/>
      <c r="P26" s="39"/>
      <c r="Q26" s="50"/>
    </row>
    <row r="27" spans="1:17" x14ac:dyDescent="0.25">
      <c r="N27" s="39"/>
      <c r="O27" s="39"/>
    </row>
    <row r="28" spans="1:17" x14ac:dyDescent="0.25">
      <c r="N28" s="39"/>
    </row>
    <row r="29" spans="1:17" x14ac:dyDescent="0.25">
      <c r="A29" t="s">
        <v>28</v>
      </c>
      <c r="N29" s="39"/>
    </row>
    <row r="30" spans="1:17" x14ac:dyDescent="0.25">
      <c r="N30" s="39"/>
    </row>
    <row r="73" spans="1:15" x14ac:dyDescent="0.25">
      <c r="J73" s="51"/>
      <c r="N73" s="39"/>
      <c r="O73" s="39"/>
    </row>
    <row r="74" spans="1:15" x14ac:dyDescent="0.25">
      <c r="A74" t="s">
        <v>21</v>
      </c>
      <c r="K74" s="40"/>
      <c r="M74" s="40"/>
      <c r="N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M2"/>
    <mergeCell ref="B12:H12"/>
    <mergeCell ref="J12:M12"/>
    <mergeCell ref="A13:A1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9"/>
  <sheetViews>
    <sheetView topLeftCell="A13" zoomScaleNormal="100" workbookViewId="0">
      <selection activeCell="K6" sqref="K6"/>
    </sheetView>
  </sheetViews>
  <sheetFormatPr defaultRowHeight="15" x14ac:dyDescent="0.25"/>
  <cols>
    <col min="1" max="1" width="30.5703125" bestFit="1" customWidth="1"/>
    <col min="2" max="2" width="8" bestFit="1" customWidth="1"/>
    <col min="3" max="9" width="7.85546875" bestFit="1" customWidth="1"/>
    <col min="10" max="10" width="6.42578125" bestFit="1" customWidth="1"/>
    <col min="11" max="11" width="11.7109375" bestFit="1" customWidth="1"/>
    <col min="12" max="12" width="10.7109375" bestFit="1" customWidth="1"/>
    <col min="13" max="13" width="10" bestFit="1" customWidth="1"/>
    <col min="14" max="14" width="8.28515625" customWidth="1"/>
    <col min="15" max="15" width="12.5703125" customWidth="1"/>
    <col min="16" max="16" width="11.7109375" bestFit="1" customWidth="1"/>
    <col min="17" max="17" width="9.140625" customWidth="1"/>
    <col min="18" max="18" width="11.140625" bestFit="1" customWidth="1"/>
    <col min="19" max="19" width="10.5703125" bestFit="1" customWidth="1"/>
  </cols>
  <sheetData>
    <row r="1" spans="1:21" ht="15.75" thickBot="1" x14ac:dyDescent="0.3"/>
    <row r="2" spans="1:21" ht="19.5" thickBot="1" x14ac:dyDescent="0.35">
      <c r="A2" s="80" t="s">
        <v>47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</row>
    <row r="3" spans="1:21" x14ac:dyDescent="0.25">
      <c r="Q3" s="39"/>
      <c r="R3" s="39"/>
    </row>
    <row r="4" spans="1:21" x14ac:dyDescent="0.25">
      <c r="A4" s="20" t="s">
        <v>8</v>
      </c>
      <c r="B4" s="21">
        <v>2.8</v>
      </c>
      <c r="C4" s="3"/>
      <c r="D4" s="79"/>
      <c r="E4" s="79"/>
      <c r="F4" s="3"/>
      <c r="G4" s="3"/>
      <c r="H4" s="3"/>
      <c r="I4" s="3"/>
      <c r="J4" s="3"/>
      <c r="K4" s="3"/>
      <c r="L4" s="3"/>
      <c r="M4" s="39"/>
      <c r="N4" s="3"/>
      <c r="O4" s="3"/>
      <c r="P4" s="3"/>
      <c r="Q4" s="39"/>
      <c r="R4" s="39"/>
    </row>
    <row r="5" spans="1:21" x14ac:dyDescent="0.25">
      <c r="A5" s="20" t="s">
        <v>22</v>
      </c>
      <c r="B5" s="22">
        <f>9*1024</f>
        <v>9216</v>
      </c>
      <c r="C5" s="3"/>
      <c r="D5" s="79"/>
      <c r="E5" s="79"/>
      <c r="F5" s="3"/>
      <c r="G5" s="3"/>
      <c r="H5" s="3"/>
      <c r="I5" s="3"/>
      <c r="K5" s="2"/>
      <c r="L5" s="39"/>
      <c r="M5" s="39"/>
      <c r="N5" s="6"/>
      <c r="O5" s="6"/>
      <c r="P5" s="6"/>
      <c r="Q5" s="39"/>
      <c r="R5" s="39"/>
    </row>
    <row r="6" spans="1:21" x14ac:dyDescent="0.25">
      <c r="A6" s="20" t="s">
        <v>9</v>
      </c>
      <c r="B6" s="22">
        <f>12*1024</f>
        <v>12288</v>
      </c>
      <c r="C6" s="3"/>
      <c r="D6" s="3"/>
      <c r="E6" s="3"/>
      <c r="F6" s="3"/>
      <c r="G6" s="3"/>
      <c r="H6" s="3"/>
      <c r="I6" s="3"/>
      <c r="L6" s="39"/>
      <c r="M6" s="39"/>
      <c r="N6" s="6"/>
      <c r="O6" s="6"/>
      <c r="P6" s="6"/>
      <c r="Q6" s="39"/>
      <c r="R6" s="39"/>
      <c r="S6" s="2"/>
      <c r="T6" s="4"/>
      <c r="U6" s="4"/>
    </row>
    <row r="7" spans="1:21" x14ac:dyDescent="0.25">
      <c r="A7" s="20" t="s">
        <v>23</v>
      </c>
      <c r="B7" s="22">
        <f>5060*2</f>
        <v>10120</v>
      </c>
      <c r="C7" s="3"/>
      <c r="D7" s="3"/>
      <c r="E7" s="3"/>
      <c r="F7" s="3"/>
      <c r="G7" s="3"/>
      <c r="H7" s="3"/>
      <c r="I7" s="3"/>
      <c r="J7" s="40"/>
      <c r="K7" s="2"/>
      <c r="L7" s="39"/>
      <c r="M7" s="39"/>
      <c r="N7" s="6"/>
      <c r="O7" s="6"/>
      <c r="P7" s="6"/>
      <c r="Q7" s="39"/>
      <c r="R7" s="39"/>
      <c r="S7" s="5"/>
      <c r="T7" s="4"/>
      <c r="U7" s="4"/>
    </row>
    <row r="8" spans="1:21" x14ac:dyDescent="0.25">
      <c r="A8" s="20" t="s">
        <v>24</v>
      </c>
      <c r="B8" s="22">
        <v>25200</v>
      </c>
      <c r="C8" s="3"/>
      <c r="D8" s="3"/>
      <c r="E8" s="3"/>
      <c r="F8" s="3"/>
      <c r="G8" s="3"/>
      <c r="H8" s="3"/>
      <c r="I8" s="3"/>
      <c r="K8" s="2"/>
      <c r="L8" s="39"/>
      <c r="M8" s="39"/>
      <c r="N8" s="6"/>
      <c r="O8" s="6"/>
      <c r="P8" s="6"/>
      <c r="R8" s="39"/>
    </row>
    <row r="9" spans="1:21" x14ac:dyDescent="0.25">
      <c r="A9" s="20"/>
      <c r="B9" s="56"/>
      <c r="C9" s="68"/>
      <c r="D9" s="3"/>
      <c r="E9" s="3"/>
      <c r="F9" s="3"/>
      <c r="G9" s="3"/>
      <c r="H9" s="3"/>
      <c r="I9" s="3"/>
      <c r="K9" s="2"/>
      <c r="L9" s="39"/>
      <c r="M9" s="39"/>
      <c r="N9" s="6"/>
      <c r="O9" s="6"/>
      <c r="P9" s="6"/>
      <c r="R9" s="39"/>
    </row>
    <row r="10" spans="1:21" x14ac:dyDescent="0.25">
      <c r="A10" s="20"/>
      <c r="B10" s="56"/>
      <c r="C10" s="68"/>
      <c r="D10" s="4"/>
      <c r="E10" s="4"/>
      <c r="F10" s="4"/>
      <c r="G10" s="4"/>
      <c r="H10" s="4"/>
      <c r="I10" s="4"/>
      <c r="J10" s="4"/>
      <c r="K10" s="4"/>
      <c r="L10" s="4"/>
      <c r="M10" s="39"/>
      <c r="N10" s="4"/>
      <c r="O10" s="4"/>
      <c r="P10" s="4"/>
      <c r="R10" s="39"/>
    </row>
    <row r="11" spans="1:21" ht="15.75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4"/>
      <c r="K11" s="4"/>
      <c r="L11" s="4"/>
      <c r="M11" s="4"/>
      <c r="N11" s="4"/>
      <c r="O11" s="4"/>
      <c r="P11" s="4"/>
      <c r="R11" s="39"/>
      <c r="S11" s="39"/>
      <c r="U11" s="39"/>
    </row>
    <row r="12" spans="1:21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5"/>
      <c r="I12" s="85"/>
      <c r="J12" s="85"/>
      <c r="K12" s="86"/>
      <c r="L12" s="23" t="s">
        <v>25</v>
      </c>
      <c r="M12" s="87" t="s">
        <v>11</v>
      </c>
      <c r="N12" s="88"/>
      <c r="O12" s="88"/>
      <c r="P12" s="89"/>
      <c r="R12" s="39"/>
      <c r="S12" s="39"/>
      <c r="U12" s="39"/>
    </row>
    <row r="13" spans="1:21" ht="45" x14ac:dyDescent="0.25">
      <c r="A13" s="90" t="s">
        <v>12</v>
      </c>
      <c r="B13" s="8" t="s">
        <v>48</v>
      </c>
      <c r="C13" s="69" t="s">
        <v>48</v>
      </c>
      <c r="D13" s="55" t="s">
        <v>5</v>
      </c>
      <c r="E13" s="55" t="s">
        <v>5</v>
      </c>
      <c r="F13" s="55" t="s">
        <v>49</v>
      </c>
      <c r="G13" s="55" t="s">
        <v>49</v>
      </c>
      <c r="H13" s="55" t="s">
        <v>40</v>
      </c>
      <c r="I13" s="55" t="s">
        <v>40</v>
      </c>
      <c r="J13" s="55" t="s">
        <v>50</v>
      </c>
      <c r="K13" s="9" t="s">
        <v>13</v>
      </c>
      <c r="L13" s="24" t="s">
        <v>14</v>
      </c>
      <c r="M13" s="8" t="s">
        <v>15</v>
      </c>
      <c r="N13" s="55" t="s">
        <v>16</v>
      </c>
      <c r="O13" s="55" t="s">
        <v>33</v>
      </c>
      <c r="P13" s="10" t="s">
        <v>17</v>
      </c>
      <c r="R13" s="39"/>
      <c r="S13" s="39"/>
      <c r="U13" s="39"/>
    </row>
    <row r="14" spans="1:21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6</v>
      </c>
      <c r="K14" s="13" t="s">
        <v>7</v>
      </c>
      <c r="L14" s="25" t="s">
        <v>30</v>
      </c>
      <c r="M14" s="11" t="s">
        <v>6</v>
      </c>
      <c r="N14" s="12" t="s">
        <v>18</v>
      </c>
      <c r="O14" s="12" t="s">
        <v>7</v>
      </c>
      <c r="P14" s="14" t="s">
        <v>19</v>
      </c>
      <c r="Q14" s="39"/>
      <c r="R14" s="39"/>
      <c r="S14" s="39"/>
      <c r="U14" s="39"/>
    </row>
    <row r="15" spans="1:21" x14ac:dyDescent="0.25">
      <c r="A15" s="1" t="s">
        <v>0</v>
      </c>
      <c r="B15" s="26">
        <v>17.399999999999999</v>
      </c>
      <c r="C15" s="71">
        <v>17.399999999999999</v>
      </c>
      <c r="D15" s="27">
        <v>5.6</v>
      </c>
      <c r="E15" s="27">
        <v>4.0999999999999996</v>
      </c>
      <c r="F15" s="27">
        <v>0.4</v>
      </c>
      <c r="G15" s="27">
        <v>0.4</v>
      </c>
      <c r="H15" s="27">
        <v>5.7</v>
      </c>
      <c r="I15" s="27">
        <v>4.8</v>
      </c>
      <c r="J15" s="16">
        <f>SUM(B15:I15)</f>
        <v>55.8</v>
      </c>
      <c r="K15" s="67">
        <f>+J15/($B$26+$C$26)</f>
        <v>6.4038560853847473E-3</v>
      </c>
      <c r="L15" s="29">
        <v>254.74</v>
      </c>
      <c r="M15" s="15">
        <v>180</v>
      </c>
      <c r="N15" s="16">
        <v>468</v>
      </c>
      <c r="O15" s="30">
        <f t="shared" ref="O15" si="0">+(L15-M15)/M15</f>
        <v>0.41522222222222227</v>
      </c>
      <c r="P15" s="17"/>
      <c r="Q15" s="39"/>
      <c r="R15" s="39"/>
      <c r="S15" s="52"/>
      <c r="U15" s="39"/>
    </row>
    <row r="16" spans="1:21" x14ac:dyDescent="0.25">
      <c r="A16" s="1" t="s">
        <v>1</v>
      </c>
      <c r="B16" s="32">
        <v>301.2</v>
      </c>
      <c r="C16" s="72">
        <v>265.60000000000002</v>
      </c>
      <c r="D16" s="33">
        <v>36.6</v>
      </c>
      <c r="E16" s="33">
        <v>26.8</v>
      </c>
      <c r="F16" s="33">
        <v>20.5</v>
      </c>
      <c r="G16" s="27">
        <v>18</v>
      </c>
      <c r="H16" s="33">
        <v>39.5</v>
      </c>
      <c r="I16" s="27">
        <v>33.299999999999997</v>
      </c>
      <c r="J16" s="16">
        <f t="shared" ref="J16:J22" si="1">SUM(B16:I16)</f>
        <v>741.49999999999989</v>
      </c>
      <c r="K16" s="67">
        <f t="shared" ref="K16:K25" si="2">+J16/($B$26+$C$26)</f>
        <v>8.5097836690193371E-2</v>
      </c>
      <c r="L16" s="34">
        <v>1880</v>
      </c>
      <c r="M16" s="15">
        <f>+K16*$B$5</f>
        <v>784.26166293682206</v>
      </c>
      <c r="N16" s="16">
        <f t="shared" ref="N16:N25" si="3">+M16*$B$4</f>
        <v>2195.9326562231017</v>
      </c>
      <c r="O16" s="30">
        <f>+(L16-M16)/M16</f>
        <v>1.3971591228365927</v>
      </c>
      <c r="P16" s="17">
        <f>+N16/L16</f>
        <v>1.1680492852250541</v>
      </c>
      <c r="Q16" s="39"/>
      <c r="R16" s="39"/>
      <c r="S16" s="53"/>
    </row>
    <row r="17" spans="1:20" x14ac:dyDescent="0.25">
      <c r="A17" s="1" t="s">
        <v>2</v>
      </c>
      <c r="B17" s="32">
        <v>934.4</v>
      </c>
      <c r="C17" s="72">
        <v>823.7</v>
      </c>
      <c r="D17" s="33">
        <v>227.7</v>
      </c>
      <c r="E17" s="33">
        <v>167.1</v>
      </c>
      <c r="F17" s="33">
        <v>74.5</v>
      </c>
      <c r="G17" s="27">
        <v>65.400000000000006</v>
      </c>
      <c r="H17" s="33">
        <v>240</v>
      </c>
      <c r="I17" s="27">
        <v>202.1</v>
      </c>
      <c r="J17" s="16">
        <f t="shared" si="1"/>
        <v>2734.9</v>
      </c>
      <c r="K17" s="67">
        <f t="shared" si="2"/>
        <v>0.31386928329603492</v>
      </c>
      <c r="L17" s="34">
        <v>6570</v>
      </c>
      <c r="M17" s="15">
        <f>+K17*$B$5</f>
        <v>2892.6193148562579</v>
      </c>
      <c r="N17" s="16">
        <f t="shared" si="3"/>
        <v>8099.3340815975216</v>
      </c>
      <c r="O17" s="30">
        <f>+(L17-M17)/M17</f>
        <v>1.2712978393862662</v>
      </c>
      <c r="P17" s="17">
        <f t="shared" ref="P17:P18" si="4">+N17/L17</f>
        <v>1.2327753548854674</v>
      </c>
      <c r="Q17" s="39"/>
      <c r="R17" s="39"/>
      <c r="S17" s="52"/>
    </row>
    <row r="18" spans="1:20" x14ac:dyDescent="0.25">
      <c r="A18" s="1" t="s">
        <v>3</v>
      </c>
      <c r="B18" s="32">
        <v>811.2</v>
      </c>
      <c r="C18" s="33">
        <v>673.9</v>
      </c>
      <c r="D18" s="33">
        <v>219.6</v>
      </c>
      <c r="E18" s="33">
        <v>161.19999999999999</v>
      </c>
      <c r="F18" s="33">
        <v>109</v>
      </c>
      <c r="G18" s="27">
        <v>95.6</v>
      </c>
      <c r="H18" s="33">
        <v>239.3</v>
      </c>
      <c r="I18" s="27">
        <v>201.6</v>
      </c>
      <c r="J18" s="16">
        <f t="shared" si="1"/>
        <v>2511.4</v>
      </c>
      <c r="K18" s="67">
        <f t="shared" si="2"/>
        <v>0.28821942962070352</v>
      </c>
      <c r="L18" s="34">
        <v>9090</v>
      </c>
      <c r="M18" s="15">
        <f>+K18*$B$5</f>
        <v>2656.2302633844038</v>
      </c>
      <c r="N18" s="16">
        <f t="shared" si="3"/>
        <v>7437.4447374763304</v>
      </c>
      <c r="O18" s="30">
        <f t="shared" ref="O18:O19" si="5">+(L18-M18)/M18</f>
        <v>2.4221430744554828</v>
      </c>
      <c r="P18" s="17">
        <f t="shared" si="4"/>
        <v>0.81820074119651598</v>
      </c>
      <c r="Q18" s="39"/>
      <c r="R18" s="39"/>
      <c r="S18" s="52"/>
    </row>
    <row r="19" spans="1:20" x14ac:dyDescent="0.25">
      <c r="A19" s="1" t="s">
        <v>4</v>
      </c>
      <c r="B19" s="32">
        <v>173.1</v>
      </c>
      <c r="C19" s="33">
        <v>137.5</v>
      </c>
      <c r="D19" s="33">
        <v>43.3</v>
      </c>
      <c r="E19" s="33">
        <v>31.8</v>
      </c>
      <c r="F19" s="33">
        <v>11.1</v>
      </c>
      <c r="G19" s="27">
        <v>9.8000000000000007</v>
      </c>
      <c r="H19" s="33">
        <v>54.9</v>
      </c>
      <c r="I19" s="27">
        <v>46.3</v>
      </c>
      <c r="J19" s="16">
        <f t="shared" si="1"/>
        <v>507.80000000000007</v>
      </c>
      <c r="K19" s="67">
        <f t="shared" si="2"/>
        <v>5.8277385665920708E-2</v>
      </c>
      <c r="L19" s="34">
        <v>1220</v>
      </c>
      <c r="M19" s="15">
        <f>+K19*$B$5</f>
        <v>537.08438629712521</v>
      </c>
      <c r="N19" s="16">
        <f t="shared" si="3"/>
        <v>1503.8362816319504</v>
      </c>
      <c r="O19" s="30">
        <f t="shared" si="5"/>
        <v>1.2715238631515029</v>
      </c>
      <c r="P19" s="17">
        <f>+N19/L19</f>
        <v>1.2326526898622545</v>
      </c>
      <c r="Q19" s="39"/>
      <c r="R19" s="39"/>
      <c r="S19" s="54"/>
    </row>
    <row r="20" spans="1:20" x14ac:dyDescent="0.25">
      <c r="A20" s="1" t="s">
        <v>21</v>
      </c>
      <c r="B20" s="32">
        <v>7.3</v>
      </c>
      <c r="C20" s="33">
        <v>7</v>
      </c>
      <c r="D20" s="33">
        <v>3.7</v>
      </c>
      <c r="E20" s="33">
        <v>2.7</v>
      </c>
      <c r="F20" s="33">
        <v>0.5</v>
      </c>
      <c r="G20" s="27">
        <v>0.4</v>
      </c>
      <c r="H20" s="33">
        <v>4.4000000000000004</v>
      </c>
      <c r="I20" s="27">
        <v>3.7</v>
      </c>
      <c r="J20" s="16">
        <f t="shared" si="1"/>
        <v>29.7</v>
      </c>
      <c r="K20" s="67">
        <f t="shared" si="2"/>
        <v>3.4085040454467207E-3</v>
      </c>
      <c r="L20" s="34">
        <v>108.35</v>
      </c>
      <c r="M20" s="15">
        <v>100</v>
      </c>
      <c r="N20" s="16">
        <f t="shared" si="3"/>
        <v>280</v>
      </c>
      <c r="O20" s="30"/>
      <c r="P20" s="17"/>
      <c r="Q20" s="39"/>
      <c r="R20" s="39"/>
      <c r="S20" s="52"/>
    </row>
    <row r="21" spans="1:20" x14ac:dyDescent="0.25">
      <c r="A21" s="31" t="s">
        <v>35</v>
      </c>
      <c r="B21" s="32">
        <v>377.3</v>
      </c>
      <c r="C21" s="33">
        <v>328.2</v>
      </c>
      <c r="D21" s="33">
        <v>121.1</v>
      </c>
      <c r="E21" s="33">
        <v>88.9</v>
      </c>
      <c r="F21" s="33">
        <v>61.5</v>
      </c>
      <c r="G21" s="27">
        <v>54</v>
      </c>
      <c r="H21" s="33">
        <v>134</v>
      </c>
      <c r="I21" s="27">
        <v>112.9</v>
      </c>
      <c r="J21" s="16">
        <f t="shared" si="1"/>
        <v>1277.9000000000001</v>
      </c>
      <c r="K21" s="67">
        <f>+J21/($B$26+$C$26)</f>
        <v>0.1466574855109887</v>
      </c>
      <c r="L21" s="34">
        <v>3650</v>
      </c>
      <c r="M21" s="15">
        <f>+K21*$B$5</f>
        <v>1351.5953864692719</v>
      </c>
      <c r="N21" s="16">
        <f t="shared" si="3"/>
        <v>3784.4670821139612</v>
      </c>
      <c r="O21" s="30">
        <f t="shared" ref="O21:O22" si="6">+(L21-M21)/M21</f>
        <v>1.7005123253156218</v>
      </c>
      <c r="P21" s="17">
        <f t="shared" ref="P21:P22" si="7">+N21/L21</f>
        <v>1.0368402964695784</v>
      </c>
      <c r="Q21" s="39"/>
      <c r="R21" s="39"/>
      <c r="S21" s="54"/>
    </row>
    <row r="22" spans="1:20" x14ac:dyDescent="0.25">
      <c r="A22" s="31" t="s">
        <v>39</v>
      </c>
      <c r="B22" s="32">
        <v>249.4</v>
      </c>
      <c r="C22" s="33">
        <v>229.1</v>
      </c>
      <c r="D22" s="33">
        <v>85.3</v>
      </c>
      <c r="E22" s="33">
        <v>62.6</v>
      </c>
      <c r="F22" s="33">
        <v>38.9</v>
      </c>
      <c r="G22" s="27">
        <v>34.200000000000003</v>
      </c>
      <c r="H22" s="33">
        <v>84</v>
      </c>
      <c r="I22" s="27">
        <v>70.900000000000006</v>
      </c>
      <c r="J22" s="16">
        <f t="shared" si="1"/>
        <v>854.4</v>
      </c>
      <c r="K22" s="67">
        <f t="shared" si="2"/>
        <v>9.80547426407299E-2</v>
      </c>
      <c r="L22" s="34">
        <v>2460</v>
      </c>
      <c r="M22" s="15">
        <f>+K22*$B$5</f>
        <v>903.67250817696674</v>
      </c>
      <c r="N22" s="16">
        <f t="shared" si="3"/>
        <v>2530.2830228955067</v>
      </c>
      <c r="O22" s="30">
        <f t="shared" si="6"/>
        <v>1.7222251177727059</v>
      </c>
      <c r="P22" s="17">
        <f t="shared" si="7"/>
        <v>1.0285703345103685</v>
      </c>
      <c r="Q22" s="39"/>
      <c r="R22" s="39"/>
      <c r="S22" s="54"/>
    </row>
    <row r="23" spans="1:20" x14ac:dyDescent="0.25">
      <c r="A23" s="31" t="s">
        <v>5</v>
      </c>
      <c r="B23" s="32">
        <v>742.8</v>
      </c>
      <c r="C23" s="33">
        <v>545.1</v>
      </c>
      <c r="D23" s="33"/>
      <c r="E23" s="33"/>
      <c r="F23" s="33"/>
      <c r="G23" s="27"/>
      <c r="H23" s="27"/>
      <c r="I23" s="27"/>
      <c r="J23" s="16"/>
      <c r="K23" s="28">
        <f t="shared" si="2"/>
        <v>0</v>
      </c>
      <c r="L23" s="34"/>
      <c r="M23" s="15">
        <f>+K23*$B$5</f>
        <v>0</v>
      </c>
      <c r="N23" s="16">
        <f t="shared" si="3"/>
        <v>0</v>
      </c>
      <c r="O23" s="57"/>
      <c r="P23" s="58"/>
      <c r="Q23" s="39"/>
      <c r="R23" s="39"/>
      <c r="S23" s="54"/>
    </row>
    <row r="24" spans="1:20" x14ac:dyDescent="0.25">
      <c r="A24" s="19" t="s">
        <v>37</v>
      </c>
      <c r="B24" s="41">
        <v>316.5</v>
      </c>
      <c r="C24" s="33">
        <v>277.8</v>
      </c>
      <c r="D24" s="33"/>
      <c r="E24" s="33"/>
      <c r="F24" s="33"/>
      <c r="G24" s="33"/>
      <c r="H24" s="33"/>
      <c r="I24" s="33"/>
      <c r="J24" s="18"/>
      <c r="K24" s="65">
        <f t="shared" si="2"/>
        <v>0</v>
      </c>
      <c r="L24" s="34"/>
      <c r="M24" s="66">
        <f>+K24*$B$5</f>
        <v>0</v>
      </c>
      <c r="N24" s="18">
        <f t="shared" si="3"/>
        <v>0</v>
      </c>
      <c r="O24" s="61"/>
      <c r="P24" s="62"/>
      <c r="Q24" s="39"/>
      <c r="R24" s="39"/>
      <c r="S24" s="39"/>
    </row>
    <row r="25" spans="1:20" ht="15.75" thickBot="1" x14ac:dyDescent="0.3">
      <c r="A25" s="19" t="s">
        <v>40</v>
      </c>
      <c r="B25" s="41">
        <v>802</v>
      </c>
      <c r="C25" s="73">
        <v>675.6</v>
      </c>
      <c r="D25" s="63"/>
      <c r="E25" s="63"/>
      <c r="F25" s="63"/>
      <c r="G25" s="63"/>
      <c r="H25" s="63"/>
      <c r="I25" s="63"/>
      <c r="J25" s="44"/>
      <c r="K25" s="42">
        <f t="shared" si="2"/>
        <v>0</v>
      </c>
      <c r="L25" s="64"/>
      <c r="M25" s="43">
        <f>+K25*$B$5</f>
        <v>0</v>
      </c>
      <c r="N25" s="44">
        <f t="shared" si="3"/>
        <v>0</v>
      </c>
      <c r="O25" s="59"/>
      <c r="P25" s="60"/>
      <c r="Q25" s="39"/>
      <c r="R25" s="39"/>
      <c r="S25" s="39"/>
    </row>
    <row r="26" spans="1:20" s="37" customFormat="1" ht="15.75" thickBot="1" x14ac:dyDescent="0.3">
      <c r="A26" s="35" t="s">
        <v>20</v>
      </c>
      <c r="B26" s="45">
        <f>SUM(B15:B25)</f>
        <v>4732.6000000000004</v>
      </c>
      <c r="C26" s="46">
        <f t="shared" ref="C26:I26" si="8">SUM(C15:C25)</f>
        <v>3980.8999999999996</v>
      </c>
      <c r="D26" s="46">
        <f t="shared" si="8"/>
        <v>742.9</v>
      </c>
      <c r="E26" s="46">
        <f t="shared" si="8"/>
        <v>545.20000000000005</v>
      </c>
      <c r="F26" s="46">
        <f t="shared" si="8"/>
        <v>316.39999999999998</v>
      </c>
      <c r="G26" s="46">
        <f t="shared" si="8"/>
        <v>277.8</v>
      </c>
      <c r="H26" s="46">
        <f t="shared" si="8"/>
        <v>801.8</v>
      </c>
      <c r="I26" s="46">
        <f t="shared" si="8"/>
        <v>675.59999999999991</v>
      </c>
      <c r="J26" s="46">
        <f>SUM(J15:J25)</f>
        <v>8713.4</v>
      </c>
      <c r="K26" s="47">
        <f>SUM(K15:K25)</f>
        <v>0.99998852355540246</v>
      </c>
      <c r="L26" s="36">
        <f t="shared" ref="L26" si="9">SUM(L15:L25)</f>
        <v>25233.089999999997</v>
      </c>
      <c r="M26" s="46">
        <f>SUM(M15:M25)</f>
        <v>9405.4635221208482</v>
      </c>
      <c r="N26" s="46">
        <f>SUM(N15:N25)</f>
        <v>26299.297861938372</v>
      </c>
      <c r="O26" s="48">
        <f>+(L26-M26)/M26</f>
        <v>1.6828119571836009</v>
      </c>
      <c r="P26" s="49">
        <f>+N26/L26</f>
        <v>1.042254351803064</v>
      </c>
      <c r="Q26" s="39"/>
      <c r="R26" s="39"/>
      <c r="S26" s="39"/>
      <c r="T26" s="50"/>
    </row>
    <row r="27" spans="1:20" x14ac:dyDescent="0.25">
      <c r="Q27" s="39"/>
      <c r="R27" s="39"/>
    </row>
    <row r="28" spans="1:20" x14ac:dyDescent="0.25">
      <c r="Q28" s="39"/>
    </row>
    <row r="29" spans="1:20" x14ac:dyDescent="0.25">
      <c r="A29" t="s">
        <v>28</v>
      </c>
      <c r="Q29" s="39"/>
    </row>
    <row r="30" spans="1:20" x14ac:dyDescent="0.25">
      <c r="Q30" s="39"/>
    </row>
    <row r="73" spans="1:18" x14ac:dyDescent="0.25">
      <c r="M73" s="51"/>
      <c r="Q73" s="39"/>
      <c r="R73" s="39"/>
    </row>
    <row r="74" spans="1:18" x14ac:dyDescent="0.25">
      <c r="A74" t="s">
        <v>21</v>
      </c>
      <c r="N74" s="40"/>
      <c r="P74" s="40"/>
      <c r="Q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P2"/>
    <mergeCell ref="B12:K12"/>
    <mergeCell ref="M12:P12"/>
    <mergeCell ref="A13:A14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9"/>
  <sheetViews>
    <sheetView zoomScaleNormal="100" workbookViewId="0">
      <selection activeCell="B7" sqref="B7"/>
    </sheetView>
  </sheetViews>
  <sheetFormatPr defaultRowHeight="15" x14ac:dyDescent="0.25"/>
  <cols>
    <col min="1" max="1" width="30.5703125" bestFit="1" customWidth="1"/>
    <col min="2" max="2" width="8" bestFit="1" customWidth="1"/>
    <col min="3" max="9" width="7.85546875" bestFit="1" customWidth="1"/>
    <col min="10" max="10" width="6.42578125" bestFit="1" customWidth="1"/>
    <col min="11" max="11" width="11.7109375" bestFit="1" customWidth="1"/>
    <col min="12" max="12" width="10.7109375" bestFit="1" customWidth="1"/>
    <col min="13" max="13" width="10" customWidth="1"/>
    <col min="14" max="14" width="8.28515625" customWidth="1"/>
    <col min="15" max="15" width="12.5703125" customWidth="1"/>
    <col min="16" max="16" width="11.7109375" customWidth="1"/>
    <col min="17" max="17" width="9.140625" customWidth="1"/>
    <col min="18" max="18" width="11.140625" bestFit="1" customWidth="1"/>
    <col min="19" max="19" width="10.5703125" bestFit="1" customWidth="1"/>
  </cols>
  <sheetData>
    <row r="1" spans="1:21" ht="15.75" thickBot="1" x14ac:dyDescent="0.3"/>
    <row r="2" spans="1:21" ht="19.5" thickBot="1" x14ac:dyDescent="0.35">
      <c r="A2" s="80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</row>
    <row r="3" spans="1:21" x14ac:dyDescent="0.25">
      <c r="Q3" s="39"/>
      <c r="R3" s="39"/>
    </row>
    <row r="4" spans="1:21" x14ac:dyDescent="0.25">
      <c r="A4" s="20" t="s">
        <v>8</v>
      </c>
      <c r="B4" s="21">
        <v>2.8</v>
      </c>
      <c r="C4" s="3"/>
      <c r="D4" s="79"/>
      <c r="E4" s="79"/>
      <c r="F4" s="3"/>
      <c r="G4" s="3"/>
      <c r="H4" s="3"/>
      <c r="I4" s="3"/>
      <c r="J4" s="3"/>
      <c r="K4" s="3"/>
      <c r="L4" s="3"/>
      <c r="M4" s="39"/>
      <c r="N4" s="3"/>
      <c r="O4" s="3"/>
      <c r="P4" s="3"/>
      <c r="Q4" s="39"/>
      <c r="R4" s="39"/>
    </row>
    <row r="5" spans="1:21" x14ac:dyDescent="0.25">
      <c r="A5" s="20" t="s">
        <v>22</v>
      </c>
      <c r="B5" s="22">
        <f>9*1024</f>
        <v>9216</v>
      </c>
      <c r="C5" s="3"/>
      <c r="D5" s="79"/>
      <c r="E5" s="79"/>
      <c r="F5" s="3"/>
      <c r="G5" s="3"/>
      <c r="H5" s="3"/>
      <c r="I5" s="3"/>
      <c r="K5" s="2"/>
      <c r="L5" s="39"/>
      <c r="M5" s="39"/>
      <c r="N5" s="6"/>
      <c r="O5" s="6"/>
      <c r="P5" s="6"/>
      <c r="Q5" s="39"/>
      <c r="R5" s="39"/>
    </row>
    <row r="6" spans="1:21" x14ac:dyDescent="0.25">
      <c r="A6" s="20" t="s">
        <v>9</v>
      </c>
      <c r="B6" s="22">
        <f>12*1024</f>
        <v>12288</v>
      </c>
      <c r="C6" s="3"/>
      <c r="D6" s="3"/>
      <c r="E6" s="3"/>
      <c r="F6" s="3"/>
      <c r="G6" s="3"/>
      <c r="H6" s="3"/>
      <c r="I6" s="3"/>
      <c r="L6" s="39"/>
      <c r="M6" s="39"/>
      <c r="N6" s="6"/>
      <c r="O6" s="6"/>
      <c r="P6" s="6"/>
      <c r="Q6" s="39"/>
      <c r="R6" s="39"/>
      <c r="S6" s="2"/>
      <c r="T6" s="4"/>
      <c r="U6" s="4"/>
    </row>
    <row r="7" spans="1:21" x14ac:dyDescent="0.25">
      <c r="A7" s="20" t="s">
        <v>23</v>
      </c>
      <c r="B7" s="22">
        <f>6670+5560</f>
        <v>12230</v>
      </c>
      <c r="C7" s="3"/>
      <c r="D7" s="3"/>
      <c r="E7" s="3"/>
      <c r="F7" s="3"/>
      <c r="G7" s="3"/>
      <c r="H7" s="3"/>
      <c r="I7" s="3"/>
      <c r="J7" s="40"/>
      <c r="K7" s="2"/>
      <c r="L7" s="39"/>
      <c r="M7" s="39"/>
      <c r="N7" s="6"/>
      <c r="O7" s="6"/>
      <c r="P7" s="6"/>
      <c r="Q7" s="39"/>
      <c r="R7" s="39"/>
      <c r="S7" s="5"/>
      <c r="T7" s="4"/>
      <c r="U7" s="4"/>
    </row>
    <row r="8" spans="1:21" x14ac:dyDescent="0.25">
      <c r="A8" s="20" t="s">
        <v>24</v>
      </c>
      <c r="B8" s="22"/>
      <c r="C8" s="3"/>
      <c r="D8" s="3"/>
      <c r="E8" s="3"/>
      <c r="F8" s="3"/>
      <c r="G8" s="3"/>
      <c r="H8" s="3"/>
      <c r="I8" s="3"/>
      <c r="K8" s="2"/>
      <c r="L8" s="39"/>
      <c r="M8" s="39"/>
      <c r="N8" s="6"/>
      <c r="O8" s="6"/>
      <c r="P8" s="6"/>
      <c r="R8" s="39"/>
    </row>
    <row r="9" spans="1:21" x14ac:dyDescent="0.25">
      <c r="A9" s="20"/>
      <c r="B9" s="56"/>
      <c r="C9" s="68"/>
      <c r="D9" s="3"/>
      <c r="E9" s="3"/>
      <c r="F9" s="3"/>
      <c r="G9" s="3"/>
      <c r="H9" s="3"/>
      <c r="I9" s="3"/>
      <c r="K9" s="2"/>
      <c r="L9" s="39"/>
      <c r="M9" s="39"/>
      <c r="N9" s="6"/>
      <c r="O9" s="6"/>
      <c r="P9" s="6"/>
      <c r="R9" s="39"/>
    </row>
    <row r="10" spans="1:21" x14ac:dyDescent="0.25">
      <c r="A10" s="20"/>
      <c r="B10" s="56"/>
      <c r="C10" s="68"/>
      <c r="D10" s="4"/>
      <c r="E10" s="4"/>
      <c r="F10" s="4"/>
      <c r="G10" s="4"/>
      <c r="H10" s="4"/>
      <c r="I10" s="4"/>
      <c r="J10" s="4"/>
      <c r="K10" s="4"/>
      <c r="L10" s="4"/>
      <c r="M10" s="39"/>
      <c r="N10" s="4"/>
      <c r="O10" s="4"/>
      <c r="P10" s="4"/>
      <c r="R10" s="39"/>
    </row>
    <row r="11" spans="1:21" ht="15.75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4"/>
      <c r="K11" s="4"/>
      <c r="L11" s="4"/>
      <c r="M11" s="4"/>
      <c r="N11" s="4"/>
      <c r="O11" s="4"/>
      <c r="P11" s="4"/>
      <c r="R11" s="39"/>
      <c r="S11" s="39"/>
      <c r="U11" s="39"/>
    </row>
    <row r="12" spans="1:21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5"/>
      <c r="I12" s="85"/>
      <c r="J12" s="85"/>
      <c r="K12" s="86"/>
      <c r="L12" s="23" t="s">
        <v>25</v>
      </c>
      <c r="M12" s="87" t="s">
        <v>11</v>
      </c>
      <c r="N12" s="88"/>
      <c r="O12" s="88"/>
      <c r="P12" s="89"/>
      <c r="R12" s="39"/>
      <c r="S12" s="39"/>
      <c r="U12" s="39"/>
    </row>
    <row r="13" spans="1:21" ht="45" x14ac:dyDescent="0.25">
      <c r="A13" s="90" t="s">
        <v>12</v>
      </c>
      <c r="B13" s="8" t="s">
        <v>48</v>
      </c>
      <c r="C13" s="69" t="s">
        <v>48</v>
      </c>
      <c r="D13" s="55" t="s">
        <v>5</v>
      </c>
      <c r="E13" s="55" t="s">
        <v>5</v>
      </c>
      <c r="F13" s="55" t="s">
        <v>49</v>
      </c>
      <c r="G13" s="55" t="s">
        <v>49</v>
      </c>
      <c r="H13" s="55" t="s">
        <v>40</v>
      </c>
      <c r="I13" s="55" t="s">
        <v>40</v>
      </c>
      <c r="J13" s="55" t="s">
        <v>50</v>
      </c>
      <c r="K13" s="9" t="s">
        <v>13</v>
      </c>
      <c r="L13" s="24" t="s">
        <v>14</v>
      </c>
      <c r="M13" s="8" t="s">
        <v>15</v>
      </c>
      <c r="N13" s="55" t="s">
        <v>16</v>
      </c>
      <c r="O13" s="55" t="s">
        <v>33</v>
      </c>
      <c r="P13" s="10" t="s">
        <v>17</v>
      </c>
      <c r="R13" s="39"/>
      <c r="S13" s="39"/>
      <c r="U13" s="39"/>
    </row>
    <row r="14" spans="1:21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6</v>
      </c>
      <c r="K14" s="13" t="s">
        <v>7</v>
      </c>
      <c r="L14" s="25" t="s">
        <v>30</v>
      </c>
      <c r="M14" s="11" t="s">
        <v>6</v>
      </c>
      <c r="N14" s="12" t="s">
        <v>18</v>
      </c>
      <c r="O14" s="12" t="s">
        <v>7</v>
      </c>
      <c r="P14" s="14" t="s">
        <v>19</v>
      </c>
      <c r="Q14" s="39"/>
      <c r="R14" s="39"/>
      <c r="S14" s="39"/>
      <c r="U14" s="39"/>
    </row>
    <row r="15" spans="1:21" x14ac:dyDescent="0.25">
      <c r="A15" s="1" t="s">
        <v>0</v>
      </c>
      <c r="B15" s="26">
        <v>16.399999999999999</v>
      </c>
      <c r="C15" s="71">
        <v>17.3</v>
      </c>
      <c r="D15" s="27">
        <v>4.5999999999999996</v>
      </c>
      <c r="E15" s="27">
        <v>4.4000000000000004</v>
      </c>
      <c r="F15" s="27"/>
      <c r="G15" s="27">
        <v>0</v>
      </c>
      <c r="H15" s="27">
        <v>5.3</v>
      </c>
      <c r="I15" s="27">
        <v>5.0999999999999996</v>
      </c>
      <c r="J15" s="16">
        <f>SUM(B15:I15)</f>
        <v>53.1</v>
      </c>
      <c r="K15" s="67">
        <f>+J15/($B$26+$C$26)</f>
        <v>6.3717196443356487E-3</v>
      </c>
      <c r="L15" s="29">
        <v>235.47</v>
      </c>
      <c r="M15" s="15">
        <v>180</v>
      </c>
      <c r="N15" s="16">
        <v>468</v>
      </c>
      <c r="O15" s="30">
        <f t="shared" ref="O15" si="0">+(L15-M15)/M15</f>
        <v>0.30816666666666664</v>
      </c>
      <c r="P15" s="17"/>
      <c r="Q15" s="39"/>
      <c r="R15" s="39"/>
      <c r="S15" s="52"/>
      <c r="U15" s="39"/>
    </row>
    <row r="16" spans="1:21" x14ac:dyDescent="0.25">
      <c r="A16" s="1" t="s">
        <v>1</v>
      </c>
      <c r="B16" s="32">
        <v>280</v>
      </c>
      <c r="C16" s="72">
        <v>274</v>
      </c>
      <c r="D16" s="33">
        <v>28.9</v>
      </c>
      <c r="E16" s="33">
        <v>27.3</v>
      </c>
      <c r="F16" s="33">
        <v>20.6</v>
      </c>
      <c r="G16" s="27">
        <v>20.3</v>
      </c>
      <c r="H16" s="33">
        <v>34.700000000000003</v>
      </c>
      <c r="I16" s="27">
        <v>33.1</v>
      </c>
      <c r="J16" s="16">
        <f t="shared" ref="J16:J22" si="1">SUM(B16:I16)</f>
        <v>718.9</v>
      </c>
      <c r="K16" s="67">
        <f t="shared" ref="K16:K22" si="2">+J16/($B$26+$C$26)</f>
        <v>8.6264204375007494E-2</v>
      </c>
      <c r="L16" s="34">
        <v>1850</v>
      </c>
      <c r="M16" s="15">
        <f>+K16*$B$5</f>
        <v>795.01090752006905</v>
      </c>
      <c r="N16" s="16">
        <f>+M16*$B$4</f>
        <v>2226.0305410561932</v>
      </c>
      <c r="O16" s="30">
        <f>+(L16-M16)/M16</f>
        <v>1.3270120981997964</v>
      </c>
      <c r="P16" s="17">
        <f>+N16/L16</f>
        <v>1.2032597519222665</v>
      </c>
      <c r="Q16" s="39"/>
      <c r="R16" s="39"/>
      <c r="S16" s="53"/>
    </row>
    <row r="17" spans="1:20" x14ac:dyDescent="0.25">
      <c r="A17" s="1" t="s">
        <v>2</v>
      </c>
      <c r="B17" s="32">
        <v>880.1</v>
      </c>
      <c r="C17" s="72">
        <v>874.7</v>
      </c>
      <c r="D17" s="33">
        <v>185.6</v>
      </c>
      <c r="E17" s="33">
        <v>175.4</v>
      </c>
      <c r="F17" s="33">
        <v>69.7</v>
      </c>
      <c r="G17" s="27">
        <v>68.5</v>
      </c>
      <c r="H17" s="33">
        <v>218.5</v>
      </c>
      <c r="I17" s="27">
        <v>208.6</v>
      </c>
      <c r="J17" s="16">
        <f t="shared" si="1"/>
        <v>2681.1</v>
      </c>
      <c r="K17" s="67">
        <f t="shared" si="2"/>
        <v>0.32171784441484569</v>
      </c>
      <c r="L17" s="34">
        <v>6850</v>
      </c>
      <c r="M17" s="15">
        <f>+K17*$B$5</f>
        <v>2964.9516541272178</v>
      </c>
      <c r="N17" s="16">
        <f t="shared" ref="N17:N25" si="3">+M17*$B$4</f>
        <v>8301.8646315562091</v>
      </c>
      <c r="O17" s="30">
        <f>+(L17-M17)/M17</f>
        <v>1.3103243489534773</v>
      </c>
      <c r="P17" s="17">
        <f t="shared" ref="P17:P18" si="4">+N17/L17</f>
        <v>1.2119510411030963</v>
      </c>
      <c r="Q17" s="39"/>
      <c r="R17" s="39"/>
      <c r="S17" s="52"/>
    </row>
    <row r="18" spans="1:20" x14ac:dyDescent="0.25">
      <c r="A18" s="1" t="s">
        <v>3</v>
      </c>
      <c r="B18" s="32">
        <v>754.9</v>
      </c>
      <c r="C18" s="33">
        <v>745.6</v>
      </c>
      <c r="D18" s="33">
        <v>177.6</v>
      </c>
      <c r="E18" s="33">
        <v>167.8</v>
      </c>
      <c r="F18" s="33">
        <v>95</v>
      </c>
      <c r="G18" s="27">
        <v>93.4</v>
      </c>
      <c r="H18" s="33">
        <v>188.2</v>
      </c>
      <c r="I18" s="27">
        <v>179.7</v>
      </c>
      <c r="J18" s="16">
        <f t="shared" si="1"/>
        <v>2402.1999999999998</v>
      </c>
      <c r="K18" s="67">
        <f t="shared" si="2"/>
        <v>0.28825131694205453</v>
      </c>
      <c r="L18" s="34">
        <v>6800</v>
      </c>
      <c r="M18" s="15">
        <f>+K18*$B$5</f>
        <v>2656.5241369379746</v>
      </c>
      <c r="N18" s="16">
        <f t="shared" si="3"/>
        <v>7438.2675834263282</v>
      </c>
      <c r="O18" s="30">
        <f t="shared" ref="O18:O19" si="5">+(L18-M18)/M18</f>
        <v>1.5597358237587768</v>
      </c>
      <c r="P18" s="17">
        <f t="shared" si="4"/>
        <v>1.0938628799156365</v>
      </c>
      <c r="Q18" s="39"/>
      <c r="R18" s="39"/>
      <c r="S18" s="52"/>
    </row>
    <row r="19" spans="1:20" x14ac:dyDescent="0.25">
      <c r="A19" s="1" t="s">
        <v>4</v>
      </c>
      <c r="B19" s="32">
        <v>146.1</v>
      </c>
      <c r="C19" s="33">
        <v>144.30000000000001</v>
      </c>
      <c r="D19" s="33">
        <v>35.6</v>
      </c>
      <c r="E19" s="33">
        <v>33.700000000000003</v>
      </c>
      <c r="F19" s="33">
        <v>10.5</v>
      </c>
      <c r="G19" s="27">
        <v>10.4</v>
      </c>
      <c r="H19" s="33">
        <v>46</v>
      </c>
      <c r="I19" s="27">
        <v>44</v>
      </c>
      <c r="J19" s="16">
        <f t="shared" si="1"/>
        <v>470.59999999999997</v>
      </c>
      <c r="K19" s="67">
        <f t="shared" si="2"/>
        <v>5.6469515341324973E-2</v>
      </c>
      <c r="L19" s="34">
        <v>1170</v>
      </c>
      <c r="M19" s="15">
        <f>+K19*$B$5</f>
        <v>520.42305338565097</v>
      </c>
      <c r="N19" s="16">
        <f t="shared" si="3"/>
        <v>1457.1845494798226</v>
      </c>
      <c r="O19" s="30">
        <f t="shared" si="5"/>
        <v>1.2481709685773483</v>
      </c>
      <c r="P19" s="17">
        <f>+N19/L19</f>
        <v>1.2454568798972843</v>
      </c>
      <c r="Q19" s="39"/>
      <c r="R19" s="39"/>
      <c r="S19" s="54"/>
    </row>
    <row r="20" spans="1:20" x14ac:dyDescent="0.25">
      <c r="A20" s="1" t="s">
        <v>21</v>
      </c>
      <c r="B20" s="32">
        <v>7.1</v>
      </c>
      <c r="C20" s="33">
        <v>7</v>
      </c>
      <c r="D20" s="33">
        <v>2.9</v>
      </c>
      <c r="E20" s="33">
        <v>2.8</v>
      </c>
      <c r="F20" s="33">
        <v>1</v>
      </c>
      <c r="G20" s="27"/>
      <c r="H20" s="33">
        <v>3.9</v>
      </c>
      <c r="I20" s="27">
        <v>3.7</v>
      </c>
      <c r="J20" s="16">
        <f t="shared" si="1"/>
        <v>28.4</v>
      </c>
      <c r="K20" s="67">
        <f t="shared" si="2"/>
        <v>3.4078500545975973E-3</v>
      </c>
      <c r="L20" s="34">
        <v>118.66</v>
      </c>
      <c r="M20" s="15">
        <v>100</v>
      </c>
      <c r="N20" s="16">
        <f t="shared" si="3"/>
        <v>280</v>
      </c>
      <c r="O20" s="30"/>
      <c r="P20" s="17"/>
      <c r="Q20" s="39"/>
      <c r="R20" s="39"/>
      <c r="S20" s="52"/>
    </row>
    <row r="21" spans="1:20" x14ac:dyDescent="0.25">
      <c r="A21" s="31" t="s">
        <v>35</v>
      </c>
      <c r="B21" s="32">
        <v>357.6</v>
      </c>
      <c r="C21" s="33">
        <v>352.6</v>
      </c>
      <c r="D21" s="33">
        <v>100.3</v>
      </c>
      <c r="E21" s="33">
        <v>94.8</v>
      </c>
      <c r="F21" s="33">
        <v>58.7</v>
      </c>
      <c r="G21" s="27">
        <v>57.7</v>
      </c>
      <c r="H21" s="33">
        <v>119.6</v>
      </c>
      <c r="I21" s="27">
        <v>114.2</v>
      </c>
      <c r="J21" s="16">
        <f t="shared" si="1"/>
        <v>1255.5</v>
      </c>
      <c r="K21" s="67">
        <f>+J21/($B$26+$C$26)</f>
        <v>0.15065337125166492</v>
      </c>
      <c r="L21" s="34">
        <v>3770</v>
      </c>
      <c r="M21" s="15">
        <f>+K21*$B$5</f>
        <v>1388.4214694553439</v>
      </c>
      <c r="N21" s="16">
        <f t="shared" si="3"/>
        <v>3887.5801144749626</v>
      </c>
      <c r="O21" s="30">
        <f t="shared" ref="O21:O22" si="6">+(L21-M21)/M21</f>
        <v>1.7153138171213329</v>
      </c>
      <c r="P21" s="17">
        <f t="shared" ref="P21:P22" si="7">+N21/L21</f>
        <v>1.0311883592771784</v>
      </c>
      <c r="Q21" s="39"/>
      <c r="R21" s="39"/>
      <c r="S21" s="54"/>
    </row>
    <row r="22" spans="1:20" x14ac:dyDescent="0.25">
      <c r="A22" s="31" t="s">
        <v>39</v>
      </c>
      <c r="B22" s="32">
        <v>201.7</v>
      </c>
      <c r="C22" s="33">
        <v>200.8</v>
      </c>
      <c r="D22" s="33">
        <v>59.5</v>
      </c>
      <c r="E22" s="33">
        <v>56.2</v>
      </c>
      <c r="F22" s="33">
        <v>33.700000000000003</v>
      </c>
      <c r="G22" s="27">
        <v>33.1</v>
      </c>
      <c r="H22" s="33">
        <v>70.8</v>
      </c>
      <c r="I22" s="27">
        <v>67.5</v>
      </c>
      <c r="J22" s="16">
        <f t="shared" si="1"/>
        <v>723.30000000000007</v>
      </c>
      <c r="K22" s="67">
        <f t="shared" si="2"/>
        <v>8.6792181144029659E-2</v>
      </c>
      <c r="L22" s="34">
        <v>2280</v>
      </c>
      <c r="M22" s="15">
        <f>+K22*$B$5</f>
        <v>799.87674142337733</v>
      </c>
      <c r="N22" s="16">
        <f t="shared" si="3"/>
        <v>2239.6548759854563</v>
      </c>
      <c r="O22" s="30">
        <f t="shared" si="6"/>
        <v>1.8504391763445323</v>
      </c>
      <c r="P22" s="17">
        <f t="shared" si="7"/>
        <v>0.98230477016905982</v>
      </c>
      <c r="Q22" s="39"/>
      <c r="R22" s="39"/>
      <c r="S22" s="54"/>
    </row>
    <row r="23" spans="1:20" x14ac:dyDescent="0.25">
      <c r="A23" s="31" t="s">
        <v>5</v>
      </c>
      <c r="B23" s="32">
        <v>594.79999999999995</v>
      </c>
      <c r="C23" s="33">
        <v>562.20000000000005</v>
      </c>
      <c r="D23" s="33"/>
      <c r="E23" s="33"/>
      <c r="F23" s="33"/>
      <c r="G23" s="27"/>
      <c r="H23" s="27"/>
      <c r="I23" s="27"/>
      <c r="J23" s="16"/>
      <c r="K23" s="28"/>
      <c r="L23" s="34"/>
      <c r="M23" s="15">
        <f>+K23*$B$5</f>
        <v>0</v>
      </c>
      <c r="N23" s="16">
        <f t="shared" si="3"/>
        <v>0</v>
      </c>
      <c r="O23" s="57"/>
      <c r="P23" s="58"/>
      <c r="Q23" s="39"/>
      <c r="R23" s="39"/>
      <c r="S23" s="54"/>
    </row>
    <row r="24" spans="1:20" x14ac:dyDescent="0.25">
      <c r="A24" s="19" t="s">
        <v>37</v>
      </c>
      <c r="B24" s="41">
        <v>289.3</v>
      </c>
      <c r="C24" s="33">
        <v>284.39999999999998</v>
      </c>
      <c r="D24" s="33"/>
      <c r="E24" s="33"/>
      <c r="F24" s="33"/>
      <c r="G24" s="33"/>
      <c r="H24" s="33"/>
      <c r="I24" s="33"/>
      <c r="J24" s="18"/>
      <c r="K24" s="65"/>
      <c r="L24" s="34"/>
      <c r="M24" s="66">
        <f>+K24*$B$5</f>
        <v>0</v>
      </c>
      <c r="N24" s="18">
        <f t="shared" si="3"/>
        <v>0</v>
      </c>
      <c r="O24" s="61"/>
      <c r="P24" s="62"/>
      <c r="Q24" s="39"/>
      <c r="R24" s="39"/>
      <c r="S24" s="39"/>
    </row>
    <row r="25" spans="1:20" ht="15.75" thickBot="1" x14ac:dyDescent="0.3">
      <c r="A25" s="19" t="s">
        <v>40</v>
      </c>
      <c r="B25" s="41">
        <v>687</v>
      </c>
      <c r="C25" s="73">
        <v>655.8</v>
      </c>
      <c r="D25" s="63"/>
      <c r="E25" s="63"/>
      <c r="F25" s="63"/>
      <c r="G25" s="63"/>
      <c r="H25" s="63"/>
      <c r="I25" s="63"/>
      <c r="J25" s="44"/>
      <c r="K25" s="42"/>
      <c r="L25" s="64"/>
      <c r="M25" s="43">
        <f>+K25*$B$5</f>
        <v>0</v>
      </c>
      <c r="N25" s="44">
        <f t="shared" si="3"/>
        <v>0</v>
      </c>
      <c r="O25" s="59"/>
      <c r="P25" s="60"/>
      <c r="Q25" s="39"/>
      <c r="R25" s="39"/>
      <c r="S25" s="39"/>
    </row>
    <row r="26" spans="1:20" s="37" customFormat="1" ht="15.75" thickBot="1" x14ac:dyDescent="0.3">
      <c r="A26" s="35" t="s">
        <v>20</v>
      </c>
      <c r="B26" s="45">
        <f>SUM(B15:B25)</f>
        <v>4215</v>
      </c>
      <c r="C26" s="46">
        <f t="shared" ref="C26:I26" si="8">SUM(C15:C25)</f>
        <v>4118.7</v>
      </c>
      <c r="D26" s="46">
        <f t="shared" si="8"/>
        <v>595</v>
      </c>
      <c r="E26" s="46">
        <f t="shared" si="8"/>
        <v>562.40000000000009</v>
      </c>
      <c r="F26" s="46">
        <f t="shared" si="8"/>
        <v>289.2</v>
      </c>
      <c r="G26" s="46">
        <f t="shared" si="8"/>
        <v>283.40000000000003</v>
      </c>
      <c r="H26" s="46">
        <f t="shared" si="8"/>
        <v>686.99999999999989</v>
      </c>
      <c r="I26" s="46">
        <f t="shared" si="8"/>
        <v>655.9</v>
      </c>
      <c r="J26" s="46">
        <f>SUM(J15:J25)</f>
        <v>8333.0999999999985</v>
      </c>
      <c r="K26" s="47">
        <f>SUM(K15:K25)</f>
        <v>0.99992800316786046</v>
      </c>
      <c r="L26" s="36">
        <f t="shared" ref="L26" si="9">SUM(L15:L25)</f>
        <v>23074.13</v>
      </c>
      <c r="M26" s="46">
        <f>SUM(M15:M25)</f>
        <v>9405.2079628496322</v>
      </c>
      <c r="N26" s="46">
        <f>SUM(N15:N25)</f>
        <v>26298.582295978973</v>
      </c>
      <c r="O26" s="48">
        <f>+(L26-M26)/M26</f>
        <v>1.4533354383169745</v>
      </c>
      <c r="P26" s="49">
        <f>+N26/L26</f>
        <v>1.1397431797419435</v>
      </c>
      <c r="Q26" s="39"/>
      <c r="R26" s="39"/>
      <c r="S26" s="39"/>
      <c r="T26" s="50"/>
    </row>
    <row r="27" spans="1:20" x14ac:dyDescent="0.25">
      <c r="Q27" s="39"/>
      <c r="R27" s="39"/>
    </row>
    <row r="28" spans="1:20" x14ac:dyDescent="0.25">
      <c r="Q28" s="39"/>
    </row>
    <row r="29" spans="1:20" x14ac:dyDescent="0.25">
      <c r="A29" t="s">
        <v>28</v>
      </c>
      <c r="Q29" s="39"/>
    </row>
    <row r="30" spans="1:20" x14ac:dyDescent="0.25">
      <c r="Q30" s="39"/>
    </row>
    <row r="73" spans="1:18" x14ac:dyDescent="0.25">
      <c r="M73" s="51"/>
      <c r="Q73" s="39"/>
      <c r="R73" s="39"/>
    </row>
    <row r="74" spans="1:18" x14ac:dyDescent="0.25">
      <c r="A74" t="s">
        <v>21</v>
      </c>
      <c r="N74" s="40"/>
      <c r="P74" s="40"/>
      <c r="Q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P2"/>
    <mergeCell ref="B12:K12"/>
    <mergeCell ref="M12:P12"/>
    <mergeCell ref="A13:A14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9"/>
  <sheetViews>
    <sheetView tabSelected="1" zoomScaleNormal="100" workbookViewId="0">
      <selection activeCell="A2" sqref="A2:P2"/>
    </sheetView>
  </sheetViews>
  <sheetFormatPr defaultRowHeight="15" x14ac:dyDescent="0.25"/>
  <cols>
    <col min="1" max="1" width="30.5703125" bestFit="1" customWidth="1"/>
    <col min="2" max="2" width="8" bestFit="1" customWidth="1"/>
    <col min="3" max="9" width="7.85546875" bestFit="1" customWidth="1"/>
    <col min="10" max="10" width="6.42578125" bestFit="1" customWidth="1"/>
    <col min="11" max="11" width="11.7109375" bestFit="1" customWidth="1"/>
    <col min="12" max="12" width="10.7109375" bestFit="1" customWidth="1"/>
    <col min="13" max="13" width="10" customWidth="1"/>
    <col min="14" max="14" width="8.28515625" customWidth="1"/>
    <col min="15" max="15" width="12.5703125" customWidth="1"/>
    <col min="16" max="16" width="11.7109375" customWidth="1"/>
    <col min="17" max="17" width="9.140625" customWidth="1"/>
    <col min="18" max="18" width="11.140625" bestFit="1" customWidth="1"/>
    <col min="19" max="19" width="10.5703125" bestFit="1" customWidth="1"/>
  </cols>
  <sheetData>
    <row r="1" spans="1:21" ht="15.75" thickBot="1" x14ac:dyDescent="0.3"/>
    <row r="2" spans="1:21" ht="19.5" thickBot="1" x14ac:dyDescent="0.35">
      <c r="A2" s="80" t="s">
        <v>52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</row>
    <row r="3" spans="1:21" x14ac:dyDescent="0.25">
      <c r="Q3" s="39"/>
      <c r="R3" s="39"/>
    </row>
    <row r="4" spans="1:21" x14ac:dyDescent="0.25">
      <c r="A4" s="20" t="s">
        <v>8</v>
      </c>
      <c r="B4" s="21">
        <v>2.8</v>
      </c>
      <c r="C4" s="3"/>
      <c r="D4" s="79"/>
      <c r="E4" s="79"/>
      <c r="F4" s="3"/>
      <c r="G4" s="3"/>
      <c r="H4" s="3"/>
      <c r="I4" s="3"/>
      <c r="J4" s="3"/>
      <c r="K4" s="3"/>
      <c r="L4" s="3"/>
      <c r="M4" s="39"/>
      <c r="N4" s="3"/>
      <c r="O4" s="3"/>
      <c r="P4" s="3"/>
      <c r="Q4" s="39"/>
      <c r="R4" s="39"/>
    </row>
    <row r="5" spans="1:21" x14ac:dyDescent="0.25">
      <c r="A5" s="20" t="s">
        <v>22</v>
      </c>
      <c r="B5" s="22">
        <f>9*1024</f>
        <v>9216</v>
      </c>
      <c r="C5" s="3"/>
      <c r="D5" s="79"/>
      <c r="E5" s="79"/>
      <c r="F5" s="3"/>
      <c r="G5" s="3"/>
      <c r="H5" s="3"/>
      <c r="I5" s="3"/>
      <c r="K5" s="2"/>
      <c r="L5" s="39"/>
      <c r="M5" s="39"/>
      <c r="N5" s="6"/>
      <c r="O5" s="6"/>
      <c r="P5" s="6"/>
      <c r="Q5" s="39"/>
      <c r="R5" s="39"/>
    </row>
    <row r="6" spans="1:21" x14ac:dyDescent="0.25">
      <c r="A6" s="20" t="s">
        <v>9</v>
      </c>
      <c r="B6" s="22">
        <f>12*1024</f>
        <v>12288</v>
      </c>
      <c r="C6" s="3"/>
      <c r="D6" s="3"/>
      <c r="E6" s="3"/>
      <c r="F6" s="3"/>
      <c r="G6" s="3"/>
      <c r="H6" s="3"/>
      <c r="I6" s="3"/>
      <c r="L6" s="39"/>
      <c r="M6" s="39"/>
      <c r="N6" s="6"/>
      <c r="O6" s="6"/>
      <c r="P6" s="6"/>
      <c r="Q6" s="39"/>
      <c r="R6" s="39"/>
      <c r="S6" s="2"/>
      <c r="T6" s="4"/>
      <c r="U6" s="4"/>
    </row>
    <row r="7" spans="1:21" x14ac:dyDescent="0.25">
      <c r="A7" s="20" t="s">
        <v>23</v>
      </c>
      <c r="B7" s="22">
        <f>5550+5590</f>
        <v>11140</v>
      </c>
      <c r="C7" s="3"/>
      <c r="D7" s="3"/>
      <c r="E7" s="3"/>
      <c r="F7" s="3"/>
      <c r="G7" s="3"/>
      <c r="H7" s="3"/>
      <c r="I7" s="3"/>
      <c r="J7" s="40"/>
      <c r="K7" s="2"/>
      <c r="L7" s="39"/>
      <c r="M7" s="39"/>
      <c r="N7" s="6"/>
      <c r="O7" s="6"/>
      <c r="P7" s="6"/>
      <c r="Q7" s="39"/>
      <c r="R7" s="39"/>
      <c r="S7" s="5"/>
      <c r="T7" s="4"/>
      <c r="U7" s="4"/>
    </row>
    <row r="8" spans="1:21" x14ac:dyDescent="0.25">
      <c r="A8" s="20" t="s">
        <v>24</v>
      </c>
      <c r="B8" s="22"/>
      <c r="C8" s="3"/>
      <c r="D8" s="3"/>
      <c r="E8" s="3"/>
      <c r="F8" s="3"/>
      <c r="G8" s="3"/>
      <c r="H8" s="3"/>
      <c r="I8" s="3"/>
      <c r="K8" s="2"/>
      <c r="L8" s="39"/>
      <c r="M8" s="39"/>
      <c r="N8" s="6"/>
      <c r="O8" s="6"/>
      <c r="P8" s="6"/>
      <c r="R8" s="39"/>
    </row>
    <row r="9" spans="1:21" x14ac:dyDescent="0.25">
      <c r="A9" s="20"/>
      <c r="B9" s="56"/>
      <c r="C9" s="68"/>
      <c r="D9" s="3"/>
      <c r="E9" s="3"/>
      <c r="F9" s="3"/>
      <c r="G9" s="3"/>
      <c r="H9" s="3"/>
      <c r="I9" s="3"/>
      <c r="K9" s="2"/>
      <c r="L9" s="39"/>
      <c r="M9" s="39"/>
      <c r="N9" s="6"/>
      <c r="O9" s="6"/>
      <c r="P9" s="6"/>
      <c r="R9" s="39"/>
    </row>
    <row r="10" spans="1:21" x14ac:dyDescent="0.25">
      <c r="A10" s="20"/>
      <c r="B10" s="56"/>
      <c r="C10" s="68"/>
      <c r="D10" s="4"/>
      <c r="E10" s="4"/>
      <c r="F10" s="4"/>
      <c r="G10" s="4"/>
      <c r="H10" s="4"/>
      <c r="I10" s="4"/>
      <c r="J10" s="4"/>
      <c r="K10" s="4"/>
      <c r="L10" s="4"/>
      <c r="M10" s="39"/>
      <c r="N10" s="4"/>
      <c r="O10" s="4"/>
      <c r="P10" s="4"/>
      <c r="R10" s="39"/>
    </row>
    <row r="11" spans="1:21" ht="15.75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4"/>
      <c r="K11" s="4"/>
      <c r="L11" s="4"/>
      <c r="M11" s="4"/>
      <c r="N11" s="4"/>
      <c r="O11" s="4"/>
      <c r="P11" s="4"/>
      <c r="R11" s="39"/>
      <c r="S11" s="39"/>
      <c r="U11" s="39"/>
    </row>
    <row r="12" spans="1:21" ht="15.75" thickBot="1" x14ac:dyDescent="0.3">
      <c r="A12" s="7"/>
      <c r="B12" s="83" t="s">
        <v>10</v>
      </c>
      <c r="C12" s="84"/>
      <c r="D12" s="85"/>
      <c r="E12" s="85"/>
      <c r="F12" s="85"/>
      <c r="G12" s="85"/>
      <c r="H12" s="85"/>
      <c r="I12" s="85"/>
      <c r="J12" s="85"/>
      <c r="K12" s="86"/>
      <c r="L12" s="23" t="s">
        <v>25</v>
      </c>
      <c r="M12" s="87" t="s">
        <v>11</v>
      </c>
      <c r="N12" s="88"/>
      <c r="O12" s="88"/>
      <c r="P12" s="89"/>
      <c r="R12" s="39"/>
      <c r="S12" s="39"/>
      <c r="U12" s="39"/>
    </row>
    <row r="13" spans="1:21" ht="45" x14ac:dyDescent="0.25">
      <c r="A13" s="90" t="s">
        <v>12</v>
      </c>
      <c r="B13" s="8" t="s">
        <v>48</v>
      </c>
      <c r="C13" s="69" t="s">
        <v>48</v>
      </c>
      <c r="D13" s="55" t="s">
        <v>5</v>
      </c>
      <c r="E13" s="55" t="s">
        <v>5</v>
      </c>
      <c r="F13" s="55" t="s">
        <v>49</v>
      </c>
      <c r="G13" s="55" t="s">
        <v>49</v>
      </c>
      <c r="H13" s="55" t="s">
        <v>40</v>
      </c>
      <c r="I13" s="55" t="s">
        <v>40</v>
      </c>
      <c r="J13" s="55" t="s">
        <v>50</v>
      </c>
      <c r="K13" s="9" t="s">
        <v>13</v>
      </c>
      <c r="L13" s="24" t="s">
        <v>14</v>
      </c>
      <c r="M13" s="8" t="s">
        <v>15</v>
      </c>
      <c r="N13" s="55" t="s">
        <v>16</v>
      </c>
      <c r="O13" s="55" t="s">
        <v>33</v>
      </c>
      <c r="P13" s="10" t="s">
        <v>17</v>
      </c>
      <c r="R13" s="39"/>
      <c r="S13" s="39"/>
      <c r="U13" s="39"/>
    </row>
    <row r="14" spans="1:21" ht="15.75" thickBot="1" x14ac:dyDescent="0.3">
      <c r="A14" s="91"/>
      <c r="B14" s="11" t="s">
        <v>27</v>
      </c>
      <c r="C14" s="70" t="s">
        <v>27</v>
      </c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6</v>
      </c>
      <c r="K14" s="13" t="s">
        <v>7</v>
      </c>
      <c r="L14" s="25" t="s">
        <v>30</v>
      </c>
      <c r="M14" s="11" t="s">
        <v>6</v>
      </c>
      <c r="N14" s="12" t="s">
        <v>18</v>
      </c>
      <c r="O14" s="12" t="s">
        <v>7</v>
      </c>
      <c r="P14" s="14" t="s">
        <v>19</v>
      </c>
      <c r="Q14" s="39"/>
      <c r="R14" s="39"/>
      <c r="S14" s="39"/>
      <c r="U14" s="39"/>
    </row>
    <row r="15" spans="1:21" x14ac:dyDescent="0.25">
      <c r="A15" s="1" t="s">
        <v>0</v>
      </c>
      <c r="B15" s="26">
        <v>15.8</v>
      </c>
      <c r="C15" s="71">
        <v>16.600000000000001</v>
      </c>
      <c r="D15" s="27">
        <v>4.5</v>
      </c>
      <c r="E15" s="27">
        <v>4.5</v>
      </c>
      <c r="F15" s="27">
        <v>0.4</v>
      </c>
      <c r="G15" s="27">
        <v>0.4</v>
      </c>
      <c r="H15" s="27">
        <v>4.9000000000000004</v>
      </c>
      <c r="I15" s="27">
        <v>4.9000000000000004</v>
      </c>
      <c r="J15" s="16">
        <f>SUM(B15:I15)</f>
        <v>52</v>
      </c>
      <c r="K15" s="67">
        <f>+J15/($B$26+$C$26)</f>
        <v>6.3546376634486127E-3</v>
      </c>
      <c r="L15" s="29">
        <v>258.63</v>
      </c>
      <c r="M15" s="15">
        <v>180</v>
      </c>
      <c r="N15" s="16">
        <v>468</v>
      </c>
      <c r="O15" s="30">
        <f t="shared" ref="O15" si="0">+(L15-M15)/M15</f>
        <v>0.4368333333333333</v>
      </c>
      <c r="P15" s="17"/>
      <c r="Q15" s="39"/>
      <c r="R15" s="39"/>
      <c r="S15" s="52"/>
      <c r="U15" s="39"/>
    </row>
    <row r="16" spans="1:21" x14ac:dyDescent="0.25">
      <c r="A16" s="1" t="s">
        <v>1</v>
      </c>
      <c r="B16" s="32">
        <v>266.39999999999998</v>
      </c>
      <c r="C16" s="72">
        <v>259.39999999999998</v>
      </c>
      <c r="D16" s="33">
        <v>28.9</v>
      </c>
      <c r="E16" s="33">
        <v>28.8</v>
      </c>
      <c r="F16" s="33">
        <v>19.7</v>
      </c>
      <c r="G16" s="27">
        <v>19.399999999999999</v>
      </c>
      <c r="H16" s="33">
        <v>34.4</v>
      </c>
      <c r="I16" s="27">
        <v>34.1</v>
      </c>
      <c r="J16" s="16">
        <f t="shared" ref="J16:J22" si="1">SUM(B16:I16)</f>
        <v>691.09999999999991</v>
      </c>
      <c r="K16" s="67">
        <f t="shared" ref="K16:K22" si="2">+J16/($B$26+$C$26)</f>
        <v>8.445557863864106E-2</v>
      </c>
      <c r="L16" s="34">
        <v>1810</v>
      </c>
      <c r="M16" s="15">
        <f>+K16*$B$5</f>
        <v>778.34261273371601</v>
      </c>
      <c r="N16" s="16">
        <f>+M16*$B$4</f>
        <v>2179.3593156544048</v>
      </c>
      <c r="O16" s="30">
        <f>+(L16-M16)/M16</f>
        <v>1.325454074321935</v>
      </c>
      <c r="P16" s="17">
        <f>+N16/L16</f>
        <v>1.2040659202510524</v>
      </c>
      <c r="Q16" s="39"/>
      <c r="R16" s="39"/>
      <c r="S16" s="53"/>
    </row>
    <row r="17" spans="1:20" x14ac:dyDescent="0.25">
      <c r="A17" s="1" t="s">
        <v>2</v>
      </c>
      <c r="B17" s="32">
        <v>839.2</v>
      </c>
      <c r="C17" s="72">
        <v>847.8</v>
      </c>
      <c r="D17" s="33">
        <v>183.5</v>
      </c>
      <c r="E17" s="33">
        <v>182.6</v>
      </c>
      <c r="F17" s="33">
        <v>70.900000000000006</v>
      </c>
      <c r="G17" s="27">
        <v>69.900000000000006</v>
      </c>
      <c r="H17" s="33">
        <v>216.3</v>
      </c>
      <c r="I17" s="27">
        <v>214.4</v>
      </c>
      <c r="J17" s="16">
        <f t="shared" si="1"/>
        <v>2624.6000000000004</v>
      </c>
      <c r="K17" s="67">
        <f t="shared" si="2"/>
        <v>0.32073811560552368</v>
      </c>
      <c r="L17" s="34">
        <v>6490</v>
      </c>
      <c r="M17" s="15">
        <f>+K17*$B$5</f>
        <v>2955.9224734205063</v>
      </c>
      <c r="N17" s="16">
        <f t="shared" ref="N17:N25" si="3">+M17*$B$4</f>
        <v>8276.582925577417</v>
      </c>
      <c r="O17" s="30">
        <f>+(L17-M17)/M17</f>
        <v>1.1955920895617953</v>
      </c>
      <c r="P17" s="17">
        <f t="shared" ref="P17:P18" si="4">+N17/L17</f>
        <v>1.2752824230473678</v>
      </c>
      <c r="Q17" s="39"/>
      <c r="R17" s="39"/>
      <c r="S17" s="52"/>
    </row>
    <row r="18" spans="1:20" x14ac:dyDescent="0.25">
      <c r="A18" s="1" t="s">
        <v>3</v>
      </c>
      <c r="B18" s="32">
        <v>805.8</v>
      </c>
      <c r="C18" s="33">
        <v>815.6</v>
      </c>
      <c r="D18" s="33">
        <v>182.4</v>
      </c>
      <c r="E18" s="33">
        <v>181.6</v>
      </c>
      <c r="F18" s="33">
        <v>103.3</v>
      </c>
      <c r="G18" s="27">
        <v>101.9</v>
      </c>
      <c r="H18" s="33">
        <v>196</v>
      </c>
      <c r="I18" s="27">
        <v>194.3</v>
      </c>
      <c r="J18" s="16">
        <f t="shared" si="1"/>
        <v>2580.9000000000005</v>
      </c>
      <c r="K18" s="67">
        <f t="shared" si="2"/>
        <v>0.31539777587681783</v>
      </c>
      <c r="L18" s="34">
        <v>7180</v>
      </c>
      <c r="M18" s="15">
        <f>+K18*$B$5</f>
        <v>2906.7059024807531</v>
      </c>
      <c r="N18" s="16">
        <f t="shared" si="3"/>
        <v>8138.7765269461079</v>
      </c>
      <c r="O18" s="30">
        <f t="shared" ref="O18:O19" si="5">+(L18-M18)/M18</f>
        <v>1.4701501427688874</v>
      </c>
      <c r="P18" s="17">
        <f t="shared" si="4"/>
        <v>1.1335343352292628</v>
      </c>
      <c r="Q18" s="39"/>
      <c r="R18" s="39"/>
      <c r="S18" s="52"/>
    </row>
    <row r="19" spans="1:20" x14ac:dyDescent="0.25">
      <c r="A19" s="1" t="s">
        <v>4</v>
      </c>
      <c r="B19" s="32">
        <v>142.1</v>
      </c>
      <c r="C19" s="33">
        <v>145.6</v>
      </c>
      <c r="D19" s="33">
        <v>35.700000000000003</v>
      </c>
      <c r="E19" s="33">
        <v>35.5</v>
      </c>
      <c r="F19" s="33">
        <v>10.3</v>
      </c>
      <c r="G19" s="27">
        <v>10.199999999999999</v>
      </c>
      <c r="H19" s="33">
        <v>45.9</v>
      </c>
      <c r="I19" s="27">
        <v>45.4</v>
      </c>
      <c r="J19" s="16">
        <f t="shared" si="1"/>
        <v>470.69999999999993</v>
      </c>
      <c r="K19" s="67">
        <f t="shared" si="2"/>
        <v>5.7521691311255028E-2</v>
      </c>
      <c r="L19" s="34">
        <v>1190</v>
      </c>
      <c r="M19" s="15">
        <f>+K19*$B$5</f>
        <v>530.11990712452632</v>
      </c>
      <c r="N19" s="16">
        <f t="shared" si="3"/>
        <v>1484.3357399486736</v>
      </c>
      <c r="O19" s="30">
        <f t="shared" si="5"/>
        <v>1.2447751612551052</v>
      </c>
      <c r="P19" s="17">
        <f>+N19/L19</f>
        <v>1.2473409579400618</v>
      </c>
      <c r="Q19" s="39"/>
      <c r="R19" s="39"/>
      <c r="S19" s="54"/>
    </row>
    <row r="20" spans="1:20" x14ac:dyDescent="0.25">
      <c r="A20" s="1" t="s">
        <v>21</v>
      </c>
      <c r="B20" s="32">
        <v>4.8</v>
      </c>
      <c r="C20" s="33">
        <v>7</v>
      </c>
      <c r="D20" s="33">
        <v>2.9</v>
      </c>
      <c r="E20" s="33">
        <v>2.9</v>
      </c>
      <c r="F20" s="33">
        <v>0.5</v>
      </c>
      <c r="G20" s="27">
        <v>0.5</v>
      </c>
      <c r="H20" s="33">
        <v>3.9</v>
      </c>
      <c r="I20" s="27">
        <v>3.9</v>
      </c>
      <c r="J20" s="16">
        <f t="shared" si="1"/>
        <v>26.4</v>
      </c>
      <c r="K20" s="67">
        <f t="shared" si="2"/>
        <v>3.2262006599046798E-3</v>
      </c>
      <c r="L20" s="34">
        <v>120.94</v>
      </c>
      <c r="M20" s="15">
        <v>100</v>
      </c>
      <c r="N20" s="16">
        <f t="shared" si="3"/>
        <v>280</v>
      </c>
      <c r="O20" s="30"/>
      <c r="P20" s="17"/>
      <c r="Q20" s="39"/>
      <c r="R20" s="39"/>
      <c r="S20" s="52"/>
    </row>
    <row r="21" spans="1:20" x14ac:dyDescent="0.25">
      <c r="A21" s="31" t="s">
        <v>35</v>
      </c>
      <c r="B21" s="32">
        <v>337.5</v>
      </c>
      <c r="C21" s="33">
        <v>338.9</v>
      </c>
      <c r="D21" s="33">
        <v>101.1</v>
      </c>
      <c r="E21" s="33">
        <v>100.6</v>
      </c>
      <c r="F21" s="33">
        <v>57.7</v>
      </c>
      <c r="G21" s="27">
        <v>56.9</v>
      </c>
      <c r="H21" s="33">
        <v>121</v>
      </c>
      <c r="I21" s="27">
        <v>120</v>
      </c>
      <c r="J21" s="16">
        <f t="shared" si="1"/>
        <v>1233.7</v>
      </c>
      <c r="K21" s="67">
        <f>+J21/($B$26+$C$26)</f>
        <v>0.15076377856531833</v>
      </c>
      <c r="L21" s="34">
        <v>3660</v>
      </c>
      <c r="M21" s="15">
        <f>+K21*$B$5</f>
        <v>1389.4389832579739</v>
      </c>
      <c r="N21" s="16">
        <f t="shared" si="3"/>
        <v>3890.4291531223266</v>
      </c>
      <c r="O21" s="30">
        <f t="shared" ref="O21:O22" si="6">+(L21-M21)/M21</f>
        <v>1.6341566949690634</v>
      </c>
      <c r="P21" s="17">
        <f t="shared" ref="P21:P22" si="7">+N21/L21</f>
        <v>1.0629587850061002</v>
      </c>
      <c r="Q21" s="39"/>
      <c r="R21" s="39"/>
      <c r="S21" s="54"/>
    </row>
    <row r="22" spans="1:20" x14ac:dyDescent="0.25">
      <c r="A22" s="31" t="s">
        <v>39</v>
      </c>
      <c r="B22" s="32">
        <v>135.19999999999999</v>
      </c>
      <c r="C22" s="33">
        <v>133.80000000000001</v>
      </c>
      <c r="D22" s="33">
        <v>41.9</v>
      </c>
      <c r="E22" s="33">
        <v>41.7</v>
      </c>
      <c r="F22" s="33">
        <v>19.899999999999999</v>
      </c>
      <c r="G22" s="27">
        <v>19.600000000000001</v>
      </c>
      <c r="H22" s="33">
        <v>56.9</v>
      </c>
      <c r="I22" s="27">
        <v>56.4</v>
      </c>
      <c r="J22" s="16">
        <f t="shared" si="1"/>
        <v>505.39999999999992</v>
      </c>
      <c r="K22" s="67">
        <f t="shared" si="2"/>
        <v>6.1762189905902466E-2</v>
      </c>
      <c r="L22" s="34">
        <v>1580</v>
      </c>
      <c r="M22" s="15">
        <f>+K22*$B$5</f>
        <v>569.20034217279715</v>
      </c>
      <c r="N22" s="16">
        <f t="shared" si="3"/>
        <v>1593.7609580838318</v>
      </c>
      <c r="O22" s="30">
        <f t="shared" si="6"/>
        <v>1.7758240516312718</v>
      </c>
      <c r="P22" s="17">
        <f t="shared" si="7"/>
        <v>1.0087094671416656</v>
      </c>
      <c r="Q22" s="39"/>
      <c r="R22" s="39"/>
      <c r="S22" s="54"/>
    </row>
    <row r="23" spans="1:20" x14ac:dyDescent="0.25">
      <c r="A23" s="31" t="s">
        <v>5</v>
      </c>
      <c r="B23" s="32">
        <v>580.70000000000005</v>
      </c>
      <c r="C23" s="33">
        <v>577</v>
      </c>
      <c r="D23" s="33"/>
      <c r="E23" s="33"/>
      <c r="F23" s="33"/>
      <c r="G23" s="27"/>
      <c r="H23" s="27"/>
      <c r="I23" s="27"/>
      <c r="J23" s="16"/>
      <c r="K23" s="28"/>
      <c r="L23" s="34"/>
      <c r="M23" s="15">
        <f>+K23*$B$5</f>
        <v>0</v>
      </c>
      <c r="N23" s="16">
        <f t="shared" si="3"/>
        <v>0</v>
      </c>
      <c r="O23" s="57"/>
      <c r="P23" s="58"/>
      <c r="Q23" s="39"/>
      <c r="R23" s="39"/>
      <c r="S23" s="54"/>
    </row>
    <row r="24" spans="1:20" x14ac:dyDescent="0.25">
      <c r="A24" s="19" t="s">
        <v>37</v>
      </c>
      <c r="B24" s="41">
        <v>282.60000000000002</v>
      </c>
      <c r="C24" s="33">
        <v>278.8</v>
      </c>
      <c r="D24" s="33"/>
      <c r="E24" s="33"/>
      <c r="F24" s="33"/>
      <c r="G24" s="33"/>
      <c r="H24" s="33"/>
      <c r="I24" s="33"/>
      <c r="J24" s="18"/>
      <c r="K24" s="65"/>
      <c r="L24" s="34"/>
      <c r="M24" s="66">
        <f>+K24*$B$5</f>
        <v>0</v>
      </c>
      <c r="N24" s="18">
        <f t="shared" si="3"/>
        <v>0</v>
      </c>
      <c r="O24" s="61"/>
      <c r="P24" s="62"/>
      <c r="Q24" s="39"/>
      <c r="R24" s="39"/>
      <c r="S24" s="39"/>
    </row>
    <row r="25" spans="1:20" ht="15.75" thickBot="1" x14ac:dyDescent="0.3">
      <c r="A25" s="19" t="s">
        <v>40</v>
      </c>
      <c r="B25" s="41">
        <v>679.2</v>
      </c>
      <c r="C25" s="73">
        <v>673.2</v>
      </c>
      <c r="D25" s="63"/>
      <c r="E25" s="63"/>
      <c r="F25" s="63"/>
      <c r="G25" s="63"/>
      <c r="H25" s="63"/>
      <c r="I25" s="63"/>
      <c r="J25" s="44"/>
      <c r="K25" s="42"/>
      <c r="L25" s="64"/>
      <c r="M25" s="43">
        <f>+K25*$B$5</f>
        <v>0</v>
      </c>
      <c r="N25" s="44">
        <f t="shared" si="3"/>
        <v>0</v>
      </c>
      <c r="O25" s="59"/>
      <c r="P25" s="60"/>
      <c r="Q25" s="39"/>
      <c r="R25" s="39"/>
      <c r="S25" s="39"/>
    </row>
    <row r="26" spans="1:20" s="37" customFormat="1" ht="15.75" thickBot="1" x14ac:dyDescent="0.3">
      <c r="A26" s="35" t="s">
        <v>20</v>
      </c>
      <c r="B26" s="45">
        <f>SUM(B15:B25)</f>
        <v>4089.3</v>
      </c>
      <c r="C26" s="46">
        <f t="shared" ref="C26:I26" si="8">SUM(C15:C25)</f>
        <v>4093.7000000000007</v>
      </c>
      <c r="D26" s="46">
        <f t="shared" si="8"/>
        <v>580.9</v>
      </c>
      <c r="E26" s="46">
        <f t="shared" si="8"/>
        <v>578.20000000000005</v>
      </c>
      <c r="F26" s="46">
        <f t="shared" si="8"/>
        <v>282.7</v>
      </c>
      <c r="G26" s="46">
        <f t="shared" si="8"/>
        <v>278.8</v>
      </c>
      <c r="H26" s="46">
        <f t="shared" si="8"/>
        <v>679.3</v>
      </c>
      <c r="I26" s="46">
        <f t="shared" si="8"/>
        <v>673.4</v>
      </c>
      <c r="J26" s="46">
        <f>SUM(J15:J25)</f>
        <v>8184.7999999999993</v>
      </c>
      <c r="K26" s="47">
        <f>SUM(K15:K25)</f>
        <v>1.0002199682268118</v>
      </c>
      <c r="L26" s="36">
        <f t="shared" ref="L26" si="9">SUM(L15:L25)</f>
        <v>22289.57</v>
      </c>
      <c r="M26" s="46">
        <f>SUM(M15:M25)</f>
        <v>9409.7302211902734</v>
      </c>
      <c r="N26" s="46">
        <f>SUM(N15:N25)</f>
        <v>26311.244619332763</v>
      </c>
      <c r="O26" s="48">
        <f>+(L26-M26)/M26</f>
        <v>1.3687788572094159</v>
      </c>
      <c r="P26" s="49">
        <f>+N26/L26</f>
        <v>1.1804285421088323</v>
      </c>
      <c r="Q26" s="39"/>
      <c r="R26" s="39"/>
      <c r="S26" s="39"/>
      <c r="T26" s="50"/>
    </row>
    <row r="27" spans="1:20" x14ac:dyDescent="0.25">
      <c r="Q27" s="39"/>
      <c r="R27" s="39"/>
    </row>
    <row r="28" spans="1:20" x14ac:dyDescent="0.25">
      <c r="Q28" s="39"/>
    </row>
    <row r="29" spans="1:20" x14ac:dyDescent="0.25">
      <c r="A29" t="s">
        <v>28</v>
      </c>
      <c r="Q29" s="39"/>
    </row>
    <row r="30" spans="1:20" x14ac:dyDescent="0.25">
      <c r="Q30" s="39"/>
    </row>
    <row r="73" spans="1:18" x14ac:dyDescent="0.25">
      <c r="M73" s="51"/>
      <c r="Q73" s="39"/>
      <c r="R73" s="39"/>
    </row>
    <row r="74" spans="1:18" x14ac:dyDescent="0.25">
      <c r="A74" t="s">
        <v>21</v>
      </c>
      <c r="N74" s="40"/>
      <c r="P74" s="40"/>
      <c r="Q74" s="39"/>
    </row>
    <row r="98" spans="1:1" x14ac:dyDescent="0.25">
      <c r="A98" t="s">
        <v>31</v>
      </c>
    </row>
    <row r="121" spans="1:1" x14ac:dyDescent="0.25">
      <c r="A121" t="s">
        <v>4</v>
      </c>
    </row>
    <row r="145" spans="1:1" x14ac:dyDescent="0.25">
      <c r="A145" t="s">
        <v>0</v>
      </c>
    </row>
    <row r="169" spans="1:1" x14ac:dyDescent="0.25">
      <c r="A169" t="s">
        <v>3</v>
      </c>
    </row>
    <row r="193" spans="1:1" x14ac:dyDescent="0.25">
      <c r="A193" t="s">
        <v>2</v>
      </c>
    </row>
    <row r="216" spans="1:1" x14ac:dyDescent="0.25">
      <c r="A216" t="s">
        <v>34</v>
      </c>
    </row>
    <row r="239" spans="1:1" x14ac:dyDescent="0.25">
      <c r="A239" t="s">
        <v>39</v>
      </c>
    </row>
  </sheetData>
  <mergeCells count="4">
    <mergeCell ref="A2:P2"/>
    <mergeCell ref="B12:K12"/>
    <mergeCell ref="M12:P12"/>
    <mergeCell ref="A13:A14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2022-05</vt:lpstr>
      <vt:lpstr>2022-05 correg</vt:lpstr>
      <vt:lpstr>2022-06</vt:lpstr>
      <vt:lpstr>2022-07</vt:lpstr>
      <vt:lpstr>2022-08</vt:lpstr>
      <vt:lpstr>2022-09</vt:lpstr>
      <vt:lpstr>2022-10</vt:lpstr>
      <vt:lpstr>2022-11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cp:lastPrinted>2019-12-10T21:20:32Z</cp:lastPrinted>
  <dcterms:created xsi:type="dcterms:W3CDTF">2019-12-02T16:53:33Z</dcterms:created>
  <dcterms:modified xsi:type="dcterms:W3CDTF">2022-12-06T23:07:05Z</dcterms:modified>
</cp:coreProperties>
</file>