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Mediciones transporte\"/>
    </mc:Choice>
  </mc:AlternateContent>
  <bookViews>
    <workbookView xWindow="0" yWindow="0" windowWidth="20460" windowHeight="7680" activeTab="6"/>
  </bookViews>
  <sheets>
    <sheet name="Jun 20" sheetId="9" r:id="rId1"/>
    <sheet name="Jul 20" sheetId="2" r:id="rId2"/>
    <sheet name="Capacidades" sheetId="7" r:id="rId3"/>
    <sheet name="Dic 20" sheetId="10" r:id="rId4"/>
    <sheet name="Ene 21" sheetId="8" r:id="rId5"/>
    <sheet name="Feb 21" sheetId="6" r:id="rId6"/>
    <sheet name="Resumen" sheetId="12" r:id="rId7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2" l="1"/>
  <c r="U20" i="12"/>
  <c r="U19" i="12"/>
  <c r="U17" i="12"/>
  <c r="U18" i="12"/>
  <c r="U16" i="12"/>
  <c r="R13" i="12"/>
  <c r="S13" i="12"/>
  <c r="R12" i="12"/>
  <c r="R11" i="12"/>
  <c r="R14" i="12"/>
  <c r="S14" i="12"/>
  <c r="P11" i="12"/>
  <c r="O12" i="12"/>
  <c r="O11" i="12"/>
  <c r="O15" i="12"/>
  <c r="O14" i="12"/>
  <c r="O13" i="12" s="1"/>
  <c r="P14" i="12"/>
  <c r="O6" i="12" l="1"/>
  <c r="O3" i="12"/>
  <c r="L19" i="12" l="1"/>
  <c r="K12" i="12" s="1"/>
  <c r="B12" i="12"/>
  <c r="B13" i="12"/>
  <c r="B14" i="12"/>
  <c r="B15" i="12"/>
  <c r="B16" i="12"/>
  <c r="B17" i="12"/>
  <c r="B18" i="12"/>
  <c r="B11" i="12"/>
  <c r="C12" i="12"/>
  <c r="C13" i="12"/>
  <c r="C14" i="12"/>
  <c r="C15" i="12"/>
  <c r="C16" i="12"/>
  <c r="C17" i="12"/>
  <c r="C18" i="12"/>
  <c r="C11" i="12"/>
  <c r="D12" i="12"/>
  <c r="D13" i="12"/>
  <c r="D14" i="12"/>
  <c r="D15" i="12"/>
  <c r="D16" i="12"/>
  <c r="D17" i="12"/>
  <c r="D18" i="12"/>
  <c r="D11" i="12"/>
  <c r="E12" i="12"/>
  <c r="E13" i="12"/>
  <c r="E14" i="12"/>
  <c r="E15" i="12"/>
  <c r="E16" i="12"/>
  <c r="E17" i="12"/>
  <c r="E18" i="12"/>
  <c r="E11" i="12"/>
  <c r="F12" i="12"/>
  <c r="F13" i="12"/>
  <c r="F14" i="12"/>
  <c r="F15" i="12"/>
  <c r="G15" i="12" s="1"/>
  <c r="F16" i="12"/>
  <c r="F17" i="12"/>
  <c r="F18" i="12"/>
  <c r="F11" i="12"/>
  <c r="B5" i="12"/>
  <c r="B3" i="12"/>
  <c r="I22" i="10"/>
  <c r="D22" i="10"/>
  <c r="C22" i="10"/>
  <c r="B22" i="10"/>
  <c r="H20" i="10"/>
  <c r="J19" i="10"/>
  <c r="E19" i="10"/>
  <c r="J18" i="10"/>
  <c r="E18" i="10"/>
  <c r="J17" i="10"/>
  <c r="E17" i="10"/>
  <c r="J16" i="10"/>
  <c r="E16" i="10"/>
  <c r="J15" i="10"/>
  <c r="E15" i="10"/>
  <c r="J14" i="10"/>
  <c r="E14" i="10"/>
  <c r="K13" i="10"/>
  <c r="J13" i="10"/>
  <c r="E13" i="10"/>
  <c r="J12" i="10"/>
  <c r="J22" i="10" s="1"/>
  <c r="E12" i="10"/>
  <c r="B6" i="10"/>
  <c r="B4" i="10"/>
  <c r="K18" i="10" s="1"/>
  <c r="I20" i="9"/>
  <c r="G20" i="9"/>
  <c r="K20" i="9" s="1"/>
  <c r="E20" i="9"/>
  <c r="D20" i="9"/>
  <c r="C20" i="9"/>
  <c r="B20" i="9"/>
  <c r="H18" i="9"/>
  <c r="F17" i="9"/>
  <c r="H17" i="9" s="1"/>
  <c r="E17" i="9"/>
  <c r="K16" i="9"/>
  <c r="E16" i="9"/>
  <c r="F16" i="9" s="1"/>
  <c r="H16" i="9" s="1"/>
  <c r="K15" i="9"/>
  <c r="F15" i="9"/>
  <c r="H15" i="9" s="1"/>
  <c r="E15" i="9"/>
  <c r="K14" i="9"/>
  <c r="E14" i="9"/>
  <c r="F14" i="9" s="1"/>
  <c r="H14" i="9" s="1"/>
  <c r="K13" i="9"/>
  <c r="F13" i="9"/>
  <c r="H13" i="9" s="1"/>
  <c r="E13" i="9"/>
  <c r="K12" i="9"/>
  <c r="E12" i="9"/>
  <c r="F12" i="9" s="1"/>
  <c r="H12" i="9" s="1"/>
  <c r="K11" i="9"/>
  <c r="F11" i="9"/>
  <c r="H11" i="9" s="1"/>
  <c r="E11" i="9"/>
  <c r="K10" i="9"/>
  <c r="E10" i="9"/>
  <c r="F10" i="9" s="1"/>
  <c r="B3" i="9"/>
  <c r="J14" i="9" s="1"/>
  <c r="L14" i="9" s="1"/>
  <c r="M12" i="12" l="1"/>
  <c r="M16" i="12"/>
  <c r="M13" i="12"/>
  <c r="M17" i="12"/>
  <c r="M18" i="12"/>
  <c r="M15" i="12"/>
  <c r="M11" i="12"/>
  <c r="M14" i="12"/>
  <c r="K11" i="12"/>
  <c r="K18" i="12"/>
  <c r="K14" i="12"/>
  <c r="K17" i="12"/>
  <c r="K13" i="12"/>
  <c r="K15" i="12"/>
  <c r="R15" i="12" s="1"/>
  <c r="G16" i="12"/>
  <c r="G12" i="12"/>
  <c r="K16" i="12"/>
  <c r="G18" i="12"/>
  <c r="G14" i="12"/>
  <c r="G17" i="12"/>
  <c r="G13" i="12"/>
  <c r="B19" i="12"/>
  <c r="F19" i="12"/>
  <c r="G11" i="12"/>
  <c r="C19" i="12"/>
  <c r="E19" i="12"/>
  <c r="D19" i="12"/>
  <c r="K12" i="10"/>
  <c r="K17" i="10"/>
  <c r="E22" i="10"/>
  <c r="F13" i="10" s="1"/>
  <c r="H13" i="10" s="1"/>
  <c r="K16" i="10"/>
  <c r="K15" i="10"/>
  <c r="K19" i="10"/>
  <c r="K14" i="10"/>
  <c r="H10" i="9"/>
  <c r="H20" i="9" s="1"/>
  <c r="F20" i="9"/>
  <c r="J10" i="9"/>
  <c r="J16" i="9"/>
  <c r="L16" i="9" s="1"/>
  <c r="J18" i="9"/>
  <c r="J11" i="9"/>
  <c r="L11" i="9" s="1"/>
  <c r="J13" i="9"/>
  <c r="L13" i="9" s="1"/>
  <c r="J15" i="9"/>
  <c r="L15" i="9" s="1"/>
  <c r="J17" i="9"/>
  <c r="J12" i="9"/>
  <c r="L12" i="9" s="1"/>
  <c r="M19" i="12" l="1"/>
  <c r="O17" i="12"/>
  <c r="R17" i="12"/>
  <c r="P15" i="12"/>
  <c r="O18" i="12"/>
  <c r="N18" i="12" s="1"/>
  <c r="R18" i="12"/>
  <c r="O16" i="12"/>
  <c r="P16" i="12" s="1"/>
  <c r="R16" i="12"/>
  <c r="Q13" i="12"/>
  <c r="N17" i="12"/>
  <c r="P17" i="12"/>
  <c r="N16" i="12"/>
  <c r="G19" i="12"/>
  <c r="F14" i="10"/>
  <c r="H14" i="10" s="1"/>
  <c r="F12" i="10"/>
  <c r="H12" i="10" s="1"/>
  <c r="F18" i="10"/>
  <c r="H18" i="10" s="1"/>
  <c r="F16" i="10"/>
  <c r="H16" i="10" s="1"/>
  <c r="F17" i="10"/>
  <c r="H17" i="10" s="1"/>
  <c r="F19" i="10"/>
  <c r="H19" i="10" s="1"/>
  <c r="F15" i="10"/>
  <c r="H15" i="10" s="1"/>
  <c r="K22" i="10"/>
  <c r="L10" i="9"/>
  <c r="J20" i="9"/>
  <c r="L20" i="9" s="1"/>
  <c r="J14" i="8"/>
  <c r="K17" i="8"/>
  <c r="J18" i="8"/>
  <c r="H20" i="8"/>
  <c r="I22" i="8"/>
  <c r="J15" i="8" s="1"/>
  <c r="D22" i="8"/>
  <c r="C22" i="8"/>
  <c r="B22" i="8"/>
  <c r="E19" i="8"/>
  <c r="E18" i="8"/>
  <c r="E17" i="8"/>
  <c r="E16" i="8"/>
  <c r="E15" i="8"/>
  <c r="E14" i="8"/>
  <c r="E13" i="8"/>
  <c r="E12" i="8"/>
  <c r="B6" i="8"/>
  <c r="B4" i="8"/>
  <c r="K14" i="8" s="1"/>
  <c r="P18" i="12" l="1"/>
  <c r="Q17" i="12"/>
  <c r="S17" i="12"/>
  <c r="N15" i="12"/>
  <c r="Q18" i="12"/>
  <c r="S18" i="12"/>
  <c r="N13" i="12"/>
  <c r="S16" i="12"/>
  <c r="Q16" i="12"/>
  <c r="S15" i="12"/>
  <c r="Q15" i="12"/>
  <c r="N14" i="12"/>
  <c r="N12" i="12"/>
  <c r="P12" i="12"/>
  <c r="H17" i="12"/>
  <c r="I17" i="12" s="1"/>
  <c r="J17" i="12" s="1"/>
  <c r="H18" i="12"/>
  <c r="I18" i="12" s="1"/>
  <c r="J18" i="12" s="1"/>
  <c r="H19" i="12"/>
  <c r="I19" i="12" s="1"/>
  <c r="H15" i="12"/>
  <c r="I15" i="12" s="1"/>
  <c r="J15" i="12" s="1"/>
  <c r="H11" i="12"/>
  <c r="I11" i="12" s="1"/>
  <c r="J11" i="12" s="1"/>
  <c r="H16" i="12"/>
  <c r="I16" i="12" s="1"/>
  <c r="J16" i="12" s="1"/>
  <c r="H13" i="12"/>
  <c r="I13" i="12" s="1"/>
  <c r="J13" i="12" s="1"/>
  <c r="H14" i="12"/>
  <c r="I14" i="12" s="1"/>
  <c r="J14" i="12" s="1"/>
  <c r="H12" i="12"/>
  <c r="I12" i="12" s="1"/>
  <c r="J12" i="12" s="1"/>
  <c r="F22" i="10"/>
  <c r="H22" i="10"/>
  <c r="K18" i="8"/>
  <c r="J17" i="8"/>
  <c r="K15" i="8"/>
  <c r="K12" i="8"/>
  <c r="K13" i="8"/>
  <c r="K19" i="8"/>
  <c r="K16" i="8"/>
  <c r="J13" i="8"/>
  <c r="J16" i="8"/>
  <c r="J12" i="8"/>
  <c r="J19" i="8"/>
  <c r="E22" i="8"/>
  <c r="F14" i="8" s="1"/>
  <c r="H14" i="8" s="1"/>
  <c r="O19" i="12" l="1"/>
  <c r="S12" i="12"/>
  <c r="Q12" i="12"/>
  <c r="J19" i="12"/>
  <c r="N11" i="12"/>
  <c r="P13" i="12"/>
  <c r="P19" i="12" s="1"/>
  <c r="Q14" i="12"/>
  <c r="N19" i="12"/>
  <c r="J22" i="8"/>
  <c r="K22" i="8"/>
  <c r="F12" i="8"/>
  <c r="H12" i="8" s="1"/>
  <c r="F18" i="8"/>
  <c r="H18" i="8" s="1"/>
  <c r="F13" i="8"/>
  <c r="H13" i="8" s="1"/>
  <c r="F17" i="8"/>
  <c r="H17" i="8" s="1"/>
  <c r="F19" i="8"/>
  <c r="H19" i="8" s="1"/>
  <c r="F15" i="8"/>
  <c r="H15" i="8" s="1"/>
  <c r="F16" i="8"/>
  <c r="H16" i="8" s="1"/>
  <c r="S11" i="12" l="1"/>
  <c r="Q11" i="12"/>
  <c r="Q19" i="12" s="1"/>
  <c r="R19" i="12"/>
  <c r="H22" i="8"/>
  <c r="F22" i="8"/>
  <c r="S19" i="12" l="1"/>
  <c r="L12" i="6"/>
  <c r="K12" i="6"/>
  <c r="H13" i="6"/>
  <c r="B6" i="6"/>
  <c r="H19" i="6"/>
  <c r="H20" i="6"/>
  <c r="K13" i="6"/>
  <c r="M13" i="6" s="1"/>
  <c r="K14" i="6"/>
  <c r="M14" i="6" s="1"/>
  <c r="K17" i="6"/>
  <c r="M17" i="6" s="1"/>
  <c r="K18" i="6"/>
  <c r="M18" i="6" s="1"/>
  <c r="I22" i="6"/>
  <c r="J14" i="6" s="1"/>
  <c r="J13" i="6"/>
  <c r="J15" i="6"/>
  <c r="J16" i="6"/>
  <c r="J17" i="6"/>
  <c r="J19" i="6"/>
  <c r="J12" i="6"/>
  <c r="E8" i="7"/>
  <c r="E9" i="7"/>
  <c r="E10" i="7"/>
  <c r="E11" i="7"/>
  <c r="E12" i="7"/>
  <c r="E13" i="7"/>
  <c r="E14" i="7"/>
  <c r="E7" i="7"/>
  <c r="D8" i="7"/>
  <c r="D9" i="7"/>
  <c r="D10" i="7"/>
  <c r="D15" i="7" s="1"/>
  <c r="D11" i="7"/>
  <c r="D12" i="7"/>
  <c r="D13" i="7"/>
  <c r="D14" i="7"/>
  <c r="D7" i="7"/>
  <c r="C15" i="7"/>
  <c r="B15" i="7"/>
  <c r="B4" i="6"/>
  <c r="K15" i="6" s="1"/>
  <c r="M15" i="6" s="1"/>
  <c r="G22" i="6"/>
  <c r="D22" i="6"/>
  <c r="C22" i="6"/>
  <c r="B22" i="6"/>
  <c r="E19" i="6"/>
  <c r="E18" i="6"/>
  <c r="E17" i="6"/>
  <c r="E16" i="6"/>
  <c r="E15" i="6"/>
  <c r="E14" i="6"/>
  <c r="E13" i="6"/>
  <c r="E12" i="6"/>
  <c r="F15" i="6" l="1"/>
  <c r="H15" i="6" s="1"/>
  <c r="L15" i="6" s="1"/>
  <c r="F19" i="6"/>
  <c r="M12" i="6"/>
  <c r="K16" i="6"/>
  <c r="M16" i="6" s="1"/>
  <c r="J18" i="6"/>
  <c r="K19" i="6"/>
  <c r="J22" i="6"/>
  <c r="L22" i="6"/>
  <c r="E15" i="7"/>
  <c r="E22" i="6"/>
  <c r="F13" i="6" l="1"/>
  <c r="L13" i="6" s="1"/>
  <c r="F14" i="6"/>
  <c r="H14" i="6" s="1"/>
  <c r="L14" i="6" s="1"/>
  <c r="F18" i="6"/>
  <c r="H18" i="6" s="1"/>
  <c r="L18" i="6" s="1"/>
  <c r="F17" i="6"/>
  <c r="H17" i="6" s="1"/>
  <c r="L17" i="6" s="1"/>
  <c r="F16" i="6"/>
  <c r="H16" i="6" s="1"/>
  <c r="L16" i="6" s="1"/>
  <c r="F12" i="6"/>
  <c r="K22" i="6"/>
  <c r="M22" i="6" s="1"/>
  <c r="F22" i="6" l="1"/>
  <c r="H12" i="6"/>
  <c r="E12" i="2"/>
  <c r="F12" i="2" s="1"/>
  <c r="H12" i="2" s="1"/>
  <c r="B21" i="2"/>
  <c r="E13" i="2"/>
  <c r="F13" i="2" s="1"/>
  <c r="H13" i="2" s="1"/>
  <c r="E14" i="2"/>
  <c r="F14" i="2"/>
  <c r="H14" i="2" s="1"/>
  <c r="E15" i="2"/>
  <c r="F15" i="2"/>
  <c r="H15" i="2"/>
  <c r="E16" i="2"/>
  <c r="F16" i="2" s="1"/>
  <c r="H16" i="2" s="1"/>
  <c r="E17" i="2"/>
  <c r="F17" i="2" s="1"/>
  <c r="H17" i="2" s="1"/>
  <c r="E18" i="2"/>
  <c r="F18" i="2"/>
  <c r="H18" i="2" s="1"/>
  <c r="H19" i="2"/>
  <c r="E11" i="2"/>
  <c r="F11" i="2"/>
  <c r="H11" i="2" s="1"/>
  <c r="L11" i="2"/>
  <c r="B3" i="2"/>
  <c r="K11" i="2" s="1"/>
  <c r="K18" i="2"/>
  <c r="I21" i="2"/>
  <c r="J14" i="2" s="1"/>
  <c r="J12" i="2"/>
  <c r="J13" i="2"/>
  <c r="J21" i="2" s="1"/>
  <c r="J15" i="2"/>
  <c r="J16" i="2"/>
  <c r="J17" i="2"/>
  <c r="J18" i="2"/>
  <c r="J11" i="2"/>
  <c r="K12" i="2"/>
  <c r="M12" i="2" s="1"/>
  <c r="K15" i="2"/>
  <c r="M15" i="2" s="1"/>
  <c r="K16" i="2"/>
  <c r="G21" i="2"/>
  <c r="L21" i="2" s="1"/>
  <c r="D21" i="2"/>
  <c r="C21" i="2"/>
  <c r="L17" i="2"/>
  <c r="L16" i="2"/>
  <c r="L15" i="2"/>
  <c r="L14" i="2"/>
  <c r="L13" i="2"/>
  <c r="L12" i="2"/>
  <c r="H22" i="6" l="1"/>
  <c r="M11" i="2"/>
  <c r="H21" i="2"/>
  <c r="E21" i="2"/>
  <c r="F21" i="2"/>
  <c r="K14" i="2"/>
  <c r="M14" i="2" s="1"/>
  <c r="K17" i="2"/>
  <c r="M17" i="2" s="1"/>
  <c r="K13" i="2"/>
  <c r="M13" i="2" s="1"/>
  <c r="K21" i="2" l="1"/>
  <c r="M21" i="2" s="1"/>
  <c r="K19" i="12" l="1"/>
</calcChain>
</file>

<file path=xl/sharedStrings.xml><?xml version="1.0" encoding="utf-8"?>
<sst xmlns="http://schemas.openxmlformats.org/spreadsheetml/2006/main" count="303" uniqueCount="71">
  <si>
    <t>Precio USD / Mb</t>
  </si>
  <si>
    <t>Capacidad contratada - Mb</t>
  </si>
  <si>
    <t>Abono contratado (USD)</t>
  </si>
  <si>
    <t>Reporte CABASE</t>
  </si>
  <si>
    <t>Contratación SYT</t>
  </si>
  <si>
    <t>Miembro</t>
  </si>
  <si>
    <t>Transporte Google</t>
  </si>
  <si>
    <t xml:space="preserve">Distribucion del transporte </t>
  </si>
  <si>
    <t>Tráfico tomado del IXP</t>
  </si>
  <si>
    <t>Abono a facturar</t>
  </si>
  <si>
    <t>Precio equivalente</t>
  </si>
  <si>
    <t>95% Mb</t>
  </si>
  <si>
    <t>Mb</t>
  </si>
  <si>
    <t>%</t>
  </si>
  <si>
    <t>USD</t>
  </si>
  <si>
    <t>USD / Mb</t>
  </si>
  <si>
    <t>Google</t>
  </si>
  <si>
    <t>TOTAL</t>
  </si>
  <si>
    <t>Transporte</t>
  </si>
  <si>
    <t>UNNOBA</t>
  </si>
  <si>
    <t>Municipalidad</t>
  </si>
  <si>
    <t>Red Power</t>
  </si>
  <si>
    <t>Young</t>
  </si>
  <si>
    <t>LinkUp</t>
  </si>
  <si>
    <t>SyT</t>
  </si>
  <si>
    <t>Servicios Grupo Junín</t>
  </si>
  <si>
    <t>Empresa Servicios TV por Cable</t>
  </si>
  <si>
    <t>Transporte BUE JUN</t>
  </si>
  <si>
    <t>Netflix</t>
  </si>
  <si>
    <t>Grupo Junin</t>
  </si>
  <si>
    <t>Transporte Netflix</t>
  </si>
  <si>
    <t>Linkup</t>
  </si>
  <si>
    <t>Empresa Servicio TV Cable</t>
  </si>
  <si>
    <t>Muni</t>
  </si>
  <si>
    <t>Observium</t>
  </si>
  <si>
    <t>Rendimiento IXP</t>
  </si>
  <si>
    <t>Consumos Julio 2020 - Medición 23-06-2020 al 22-07-2020</t>
  </si>
  <si>
    <t>Capacidad medida</t>
  </si>
  <si>
    <t>Capacidad contratada</t>
  </si>
  <si>
    <t>Pico Mb</t>
  </si>
  <si>
    <t xml:space="preserve">Distribucion contratada </t>
  </si>
  <si>
    <t>Transporte total</t>
  </si>
  <si>
    <t>Facturando</t>
  </si>
  <si>
    <t>Disponible</t>
  </si>
  <si>
    <t>Total</t>
  </si>
  <si>
    <t>Consumos Febrero 2021 - Medición 23-01-2021 al 22-02-2021</t>
  </si>
  <si>
    <t>Precio unitario (USD / Mb)</t>
  </si>
  <si>
    <t>Mb pico</t>
  </si>
  <si>
    <t>Mb Pico</t>
  </si>
  <si>
    <t>Transporte Link 6 Gb</t>
  </si>
  <si>
    <t>Transporte Link 1 Gb</t>
  </si>
  <si>
    <t>Distrib Capacidad disponible</t>
  </si>
  <si>
    <t>Capacidad utilizada - Mb pico</t>
  </si>
  <si>
    <t>Contratación Transporte</t>
  </si>
  <si>
    <t>Calculo en base a Capac. Utilizada, no la capacidad contratada</t>
  </si>
  <si>
    <t>Consumos Enero 2021 - Medición 23-12-2020 al 22-01-2020</t>
  </si>
  <si>
    <t>Consumos Junio 2020 - Medición 23-05-2020 al 22-06-2020</t>
  </si>
  <si>
    <t>Consumos Diciembre 2020 - Medición 23-12-2020 al 22-01-2021</t>
  </si>
  <si>
    <t>Consumos JUNIN</t>
  </si>
  <si>
    <t>Mb 95%</t>
  </si>
  <si>
    <t>Contratación</t>
  </si>
  <si>
    <t>Distribucion</t>
  </si>
  <si>
    <t>Abono</t>
  </si>
  <si>
    <t xml:space="preserve">Distribucion </t>
  </si>
  <si>
    <t>Capacidad</t>
  </si>
  <si>
    <t>Ultimo Q</t>
  </si>
  <si>
    <t>Propuesta A</t>
  </si>
  <si>
    <t>Propuesta B</t>
  </si>
  <si>
    <t>Distribución según consumos del ultimo Q y Young, UNNOBA, Muni y SYT mantienen su abono</t>
  </si>
  <si>
    <t>Idem y Linkup mantiene su abono</t>
  </si>
  <si>
    <t>Capacidad y abono según consumos del ultimo Q - Reportes CABASE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</si>
</sst>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* #,##0.000_-;\-* #,##0.000_-;_-* &quot;-&quot;?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0" fontId="4" fillId="0" borderId="0" xfId="0" applyFont="1" applyBorder="1"/>
    <xf numFmtId="0" fontId="0" fillId="0" borderId="0" xfId="0" applyBorder="1"/>
    <xf numFmtId="0" fontId="4" fillId="0" borderId="0" xfId="0" applyFont="1"/>
    <xf numFmtId="164" fontId="4" fillId="2" borderId="1" xfId="1" applyNumberFormat="1" applyFont="1" applyFill="1" applyBorder="1" applyAlignment="1"/>
    <xf numFmtId="164" fontId="0" fillId="0" borderId="0" xfId="0" applyNumberForma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0" fillId="0" borderId="0" xfId="0" applyFont="1"/>
    <xf numFmtId="164" fontId="0" fillId="2" borderId="15" xfId="1" applyNumberFormat="1" applyFont="1" applyFill="1" applyBorder="1" applyAlignment="1">
      <alignment horizontal="right" wrapText="1"/>
    </xf>
    <xf numFmtId="164" fontId="0" fillId="0" borderId="15" xfId="1" applyNumberFormat="1" applyFont="1" applyBorder="1" applyAlignment="1">
      <alignment horizontal="right" wrapText="1"/>
    </xf>
    <xf numFmtId="164" fontId="0" fillId="2" borderId="17" xfId="1" applyNumberFormat="1" applyFont="1" applyFill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6" xfId="0" applyNumberFormat="1" applyFont="1" applyBorder="1"/>
    <xf numFmtId="164" fontId="0" fillId="2" borderId="1" xfId="1" applyNumberFormat="1" applyFont="1" applyFill="1" applyBorder="1" applyAlignment="1">
      <alignment horizontal="right" wrapText="1"/>
    </xf>
    <xf numFmtId="164" fontId="0" fillId="0" borderId="1" xfId="1" applyNumberFormat="1" applyFont="1" applyBorder="1" applyAlignment="1">
      <alignment horizontal="right" wrapText="1"/>
    </xf>
    <xf numFmtId="164" fontId="0" fillId="2" borderId="9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wrapText="1"/>
    </xf>
    <xf numFmtId="164" fontId="5" fillId="0" borderId="20" xfId="1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9" xfId="0" applyFont="1" applyBorder="1" applyAlignment="1">
      <alignment wrapText="1"/>
    </xf>
    <xf numFmtId="164" fontId="5" fillId="0" borderId="23" xfId="1" applyNumberFormat="1" applyFont="1" applyBorder="1" applyAlignment="1">
      <alignment horizontal="right" wrapText="1"/>
    </xf>
    <xf numFmtId="164" fontId="0" fillId="0" borderId="24" xfId="1" applyNumberFormat="1" applyFont="1" applyBorder="1" applyAlignment="1">
      <alignment horizontal="right" wrapText="1"/>
    </xf>
    <xf numFmtId="164" fontId="0" fillId="0" borderId="25" xfId="1" applyNumberFormat="1" applyFont="1" applyBorder="1" applyAlignment="1">
      <alignment horizontal="right" wrapText="1"/>
    </xf>
    <xf numFmtId="9" fontId="4" fillId="0" borderId="25" xfId="2" applyFont="1" applyBorder="1" applyAlignment="1">
      <alignment horizontal="right" wrapText="1"/>
    </xf>
    <xf numFmtId="43" fontId="4" fillId="0" borderId="26" xfId="0" applyNumberFormat="1" applyFont="1" applyBorder="1"/>
    <xf numFmtId="164" fontId="5" fillId="0" borderId="27" xfId="1" applyNumberFormat="1" applyFont="1" applyBorder="1" applyAlignment="1">
      <alignment horizontal="right" wrapText="1"/>
    </xf>
    <xf numFmtId="164" fontId="5" fillId="0" borderId="28" xfId="1" applyNumberFormat="1" applyFont="1" applyBorder="1" applyAlignment="1">
      <alignment horizontal="right" wrapText="1"/>
    </xf>
    <xf numFmtId="43" fontId="5" fillId="0" borderId="29" xfId="0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2" xfId="0" applyFont="1" applyFill="1" applyBorder="1" applyAlignment="1">
      <alignment wrapText="1"/>
    </xf>
    <xf numFmtId="0" fontId="0" fillId="0" borderId="33" xfId="0" applyFont="1" applyBorder="1" applyAlignment="1">
      <alignment wrapText="1"/>
    </xf>
    <xf numFmtId="0" fontId="5" fillId="0" borderId="31" xfId="0" applyFont="1" applyBorder="1" applyAlignment="1">
      <alignment horizontal="right" wrapText="1"/>
    </xf>
    <xf numFmtId="10" fontId="0" fillId="0" borderId="1" xfId="2" applyNumberFormat="1" applyFont="1" applyBorder="1" applyAlignment="1">
      <alignment horizontal="right" wrapText="1"/>
    </xf>
    <xf numFmtId="164" fontId="0" fillId="2" borderId="7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2" borderId="24" xfId="1" applyNumberFormat="1" applyFont="1" applyFill="1" applyBorder="1" applyAlignment="1">
      <alignment horizontal="right" wrapText="1"/>
    </xf>
    <xf numFmtId="164" fontId="0" fillId="2" borderId="25" xfId="1" applyNumberFormat="1" applyFont="1" applyFill="1" applyBorder="1" applyAlignment="1">
      <alignment wrapText="1"/>
    </xf>
    <xf numFmtId="9" fontId="0" fillId="0" borderId="25" xfId="2" applyFont="1" applyBorder="1" applyAlignment="1">
      <alignment horizontal="right" wrapText="1"/>
    </xf>
    <xf numFmtId="9" fontId="5" fillId="0" borderId="28" xfId="2" applyFont="1" applyBorder="1" applyAlignment="1">
      <alignment horizontal="right" wrapText="1"/>
    </xf>
    <xf numFmtId="0" fontId="3" fillId="0" borderId="0" xfId="0" applyFont="1" applyFill="1" applyBorder="1" applyAlignment="1"/>
    <xf numFmtId="0" fontId="0" fillId="0" borderId="0" xfId="0" applyFill="1" applyBorder="1"/>
    <xf numFmtId="0" fontId="5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wrapText="1"/>
    </xf>
    <xf numFmtId="10" fontId="0" fillId="0" borderId="38" xfId="2" applyNumberFormat="1" applyFont="1" applyBorder="1" applyAlignment="1">
      <alignment horizontal="right" wrapText="1"/>
    </xf>
    <xf numFmtId="10" fontId="0" fillId="0" borderId="39" xfId="2" applyNumberFormat="1" applyFont="1" applyBorder="1" applyAlignment="1">
      <alignment horizontal="right" wrapText="1"/>
    </xf>
    <xf numFmtId="9" fontId="0" fillId="0" borderId="40" xfId="2" applyFont="1" applyBorder="1" applyAlignment="1">
      <alignment horizontal="right" wrapText="1"/>
    </xf>
    <xf numFmtId="9" fontId="5" fillId="0" borderId="41" xfId="2" applyFont="1" applyBorder="1" applyAlignment="1">
      <alignment horizontal="right" wrapText="1"/>
    </xf>
    <xf numFmtId="0" fontId="5" fillId="0" borderId="22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wrapText="1"/>
    </xf>
    <xf numFmtId="164" fontId="0" fillId="2" borderId="42" xfId="1" applyNumberFormat="1" applyFont="1" applyFill="1" applyBorder="1" applyAlignment="1">
      <alignment horizontal="right" wrapText="1"/>
    </xf>
    <xf numFmtId="164" fontId="0" fillId="2" borderId="32" xfId="1" applyNumberFormat="1" applyFont="1" applyFill="1" applyBorder="1" applyAlignment="1">
      <alignment horizontal="right" wrapText="1"/>
    </xf>
    <xf numFmtId="164" fontId="0" fillId="0" borderId="43" xfId="2" applyNumberFormat="1" applyFont="1" applyBorder="1" applyAlignment="1">
      <alignment horizontal="right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9" fontId="4" fillId="0" borderId="1" xfId="2" applyFont="1" applyBorder="1" applyAlignment="1">
      <alignment horizontal="right" wrapText="1"/>
    </xf>
    <xf numFmtId="164" fontId="0" fillId="0" borderId="2" xfId="1" applyNumberFormat="1" applyFont="1" applyBorder="1" applyAlignment="1">
      <alignment horizontal="right" wrapText="1"/>
    </xf>
    <xf numFmtId="164" fontId="0" fillId="0" borderId="3" xfId="1" applyNumberFormat="1" applyFont="1" applyBorder="1" applyAlignment="1">
      <alignment horizontal="right" wrapText="1"/>
    </xf>
    <xf numFmtId="10" fontId="0" fillId="0" borderId="3" xfId="2" applyNumberFormat="1" applyFont="1" applyBorder="1" applyAlignment="1">
      <alignment horizontal="right" wrapText="1"/>
    </xf>
    <xf numFmtId="9" fontId="4" fillId="0" borderId="3" xfId="2" applyFont="1" applyBorder="1" applyAlignment="1">
      <alignment horizontal="right" wrapText="1"/>
    </xf>
    <xf numFmtId="43" fontId="4" fillId="0" borderId="4" xfId="0" applyNumberFormat="1" applyFont="1" applyBorder="1"/>
    <xf numFmtId="164" fontId="0" fillId="0" borderId="7" xfId="1" applyNumberFormat="1" applyFont="1" applyBorder="1" applyAlignment="1">
      <alignment horizontal="right" wrapText="1"/>
    </xf>
    <xf numFmtId="43" fontId="4" fillId="0" borderId="8" xfId="0" applyNumberFormat="1" applyFont="1" applyBorder="1"/>
    <xf numFmtId="164" fontId="0" fillId="0" borderId="1" xfId="1" applyNumberFormat="1" applyFont="1" applyFill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10" fontId="0" fillId="0" borderId="1" xfId="2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right" wrapText="1"/>
    </xf>
    <xf numFmtId="164" fontId="0" fillId="0" borderId="8" xfId="1" applyNumberFormat="1" applyFont="1" applyFill="1" applyBorder="1" applyAlignment="1">
      <alignment horizontal="right" wrapText="1"/>
    </xf>
    <xf numFmtId="164" fontId="0" fillId="0" borderId="7" xfId="0" applyNumberFormat="1" applyBorder="1"/>
    <xf numFmtId="164" fontId="0" fillId="0" borderId="14" xfId="1" applyNumberFormat="1" applyFont="1" applyFill="1" applyBorder="1" applyAlignment="1">
      <alignment horizontal="right" wrapText="1"/>
    </xf>
    <xf numFmtId="164" fontId="0" fillId="0" borderId="16" xfId="1" applyNumberFormat="1" applyFont="1" applyFill="1" applyBorder="1" applyAlignment="1">
      <alignment horizontal="right" wrapText="1"/>
    </xf>
    <xf numFmtId="164" fontId="0" fillId="0" borderId="14" xfId="0" applyNumberFormat="1" applyBorder="1"/>
    <xf numFmtId="0" fontId="7" fillId="0" borderId="44" xfId="0" applyFont="1" applyFill="1" applyBorder="1" applyAlignment="1">
      <alignment wrapText="1"/>
    </xf>
    <xf numFmtId="164" fontId="2" fillId="0" borderId="27" xfId="0" applyNumberFormat="1" applyFont="1" applyBorder="1"/>
    <xf numFmtId="164" fontId="2" fillId="0" borderId="29" xfId="0" applyNumberFormat="1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8" xfId="0" applyFont="1" applyBorder="1" applyAlignment="1">
      <alignment wrapText="1"/>
    </xf>
    <xf numFmtId="164" fontId="0" fillId="0" borderId="26" xfId="1" applyNumberFormat="1" applyFont="1" applyBorder="1" applyAlignment="1">
      <alignment horizontal="right" wrapText="1"/>
    </xf>
    <xf numFmtId="164" fontId="0" fillId="0" borderId="24" xfId="0" applyNumberFormat="1" applyBorder="1"/>
    <xf numFmtId="164" fontId="2" fillId="0" borderId="29" xfId="1" applyNumberFormat="1" applyFont="1" applyBorder="1"/>
    <xf numFmtId="9" fontId="5" fillId="0" borderId="20" xfId="2" applyFont="1" applyBorder="1" applyAlignment="1">
      <alignment horizontal="right" wrapText="1"/>
    </xf>
    <xf numFmtId="43" fontId="5" fillId="0" borderId="21" xfId="0" applyNumberFormat="1" applyFont="1" applyBorder="1" applyAlignment="1">
      <alignment horizontal="right"/>
    </xf>
    <xf numFmtId="164" fontId="5" fillId="0" borderId="45" xfId="1" applyNumberFormat="1" applyFont="1" applyBorder="1" applyAlignment="1">
      <alignment horizontal="right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44" xfId="1" applyNumberFormat="1" applyFont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0" borderId="10" xfId="1" applyNumberFormat="1" applyFont="1" applyBorder="1" applyAlignment="1">
      <alignment horizontal="right" wrapText="1"/>
    </xf>
    <xf numFmtId="9" fontId="0" fillId="0" borderId="11" xfId="2" applyFont="1" applyBorder="1" applyAlignment="1">
      <alignment horizontal="right" wrapText="1"/>
    </xf>
    <xf numFmtId="43" fontId="4" fillId="0" borderId="12" xfId="0" applyNumberFormat="1" applyFont="1" applyBorder="1"/>
    <xf numFmtId="164" fontId="0" fillId="2" borderId="14" xfId="1" applyNumberFormat="1" applyFont="1" applyFill="1" applyBorder="1"/>
    <xf numFmtId="0" fontId="0" fillId="2" borderId="15" xfId="0" applyFill="1" applyBorder="1"/>
    <xf numFmtId="164" fontId="0" fillId="2" borderId="7" xfId="1" applyNumberFormat="1" applyFont="1" applyFill="1" applyBorder="1"/>
    <xf numFmtId="0" fontId="0" fillId="2" borderId="1" xfId="0" applyFill="1" applyBorder="1"/>
    <xf numFmtId="164" fontId="0" fillId="2" borderId="24" xfId="1" applyNumberFormat="1" applyFont="1" applyFill="1" applyBorder="1"/>
    <xf numFmtId="0" fontId="0" fillId="2" borderId="25" xfId="0" applyFill="1" applyBorder="1"/>
    <xf numFmtId="164" fontId="0" fillId="2" borderId="15" xfId="0" applyNumberFormat="1" applyFill="1" applyBorder="1"/>
    <xf numFmtId="164" fontId="0" fillId="2" borderId="1" xfId="0" applyNumberFormat="1" applyFill="1" applyBorder="1"/>
    <xf numFmtId="164" fontId="0" fillId="2" borderId="11" xfId="1" applyNumberFormat="1" applyFont="1" applyFill="1" applyBorder="1" applyAlignment="1">
      <alignment horizontal="right" wrapText="1"/>
    </xf>
    <xf numFmtId="164" fontId="0" fillId="2" borderId="18" xfId="2" applyNumberFormat="1" applyFont="1" applyFill="1" applyBorder="1" applyAlignment="1">
      <alignment horizontal="right" wrapText="1"/>
    </xf>
    <xf numFmtId="164" fontId="0" fillId="0" borderId="38" xfId="1" applyNumberFormat="1" applyFont="1" applyBorder="1" applyAlignment="1">
      <alignment horizontal="right" wrapText="1"/>
    </xf>
    <xf numFmtId="164" fontId="0" fillId="0" borderId="39" xfId="1" applyNumberFormat="1" applyFont="1" applyBorder="1" applyAlignment="1">
      <alignment horizontal="right" wrapText="1"/>
    </xf>
    <xf numFmtId="164" fontId="0" fillId="0" borderId="37" xfId="1" applyNumberFormat="1" applyFont="1" applyBorder="1" applyAlignment="1">
      <alignment horizontal="right" wrapText="1"/>
    </xf>
    <xf numFmtId="164" fontId="5" fillId="0" borderId="46" xfId="1" applyNumberFormat="1" applyFont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9" fontId="4" fillId="0" borderId="7" xfId="2" applyFont="1" applyBorder="1" applyAlignment="1">
      <alignment horizontal="right" wrapText="1"/>
    </xf>
    <xf numFmtId="9" fontId="4" fillId="0" borderId="10" xfId="2" applyFont="1" applyBorder="1" applyAlignment="1">
      <alignment horizontal="right" wrapText="1"/>
    </xf>
    <xf numFmtId="9" fontId="5" fillId="0" borderId="19" xfId="2" applyFont="1" applyBorder="1" applyAlignment="1">
      <alignment horizontal="right" wrapText="1"/>
    </xf>
    <xf numFmtId="0" fontId="4" fillId="0" borderId="12" xfId="0" applyFont="1" applyFill="1" applyBorder="1" applyAlignment="1">
      <alignment horizontal="center" wrapText="1"/>
    </xf>
    <xf numFmtId="164" fontId="0" fillId="0" borderId="16" xfId="1" applyNumberFormat="1" applyFont="1" applyBorder="1" applyAlignment="1">
      <alignment horizontal="right" wrapText="1"/>
    </xf>
    <xf numFmtId="164" fontId="0" fillId="0" borderId="8" xfId="1" applyNumberFormat="1" applyFont="1" applyBorder="1" applyAlignment="1">
      <alignment horizontal="right" wrapText="1"/>
    </xf>
    <xf numFmtId="164" fontId="0" fillId="0" borderId="12" xfId="1" applyNumberFormat="1" applyFont="1" applyBorder="1" applyAlignment="1">
      <alignment horizontal="right" wrapText="1"/>
    </xf>
    <xf numFmtId="164" fontId="5" fillId="0" borderId="19" xfId="1" applyNumberFormat="1" applyFont="1" applyBorder="1" applyAlignment="1">
      <alignment horizontal="right" wrapText="1"/>
    </xf>
    <xf numFmtId="164" fontId="5" fillId="0" borderId="21" xfId="1" applyNumberFormat="1" applyFont="1" applyBorder="1" applyAlignment="1">
      <alignment horizontal="right" wrapText="1"/>
    </xf>
    <xf numFmtId="0" fontId="4" fillId="0" borderId="0" xfId="0" applyFont="1" applyBorder="1" applyAlignment="1"/>
    <xf numFmtId="0" fontId="5" fillId="0" borderId="5" xfId="0" applyFont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0" fillId="2" borderId="50" xfId="1" applyNumberFormat="1" applyFont="1" applyFill="1" applyBorder="1" applyAlignment="1">
      <alignment horizontal="right" wrapText="1"/>
    </xf>
    <xf numFmtId="10" fontId="0" fillId="0" borderId="16" xfId="2" applyNumberFormat="1" applyFont="1" applyBorder="1" applyAlignment="1">
      <alignment horizontal="right" wrapText="1"/>
    </xf>
    <xf numFmtId="164" fontId="0" fillId="0" borderId="50" xfId="1" applyNumberFormat="1" applyFont="1" applyBorder="1" applyAlignment="1">
      <alignment horizontal="right" wrapText="1"/>
    </xf>
    <xf numFmtId="9" fontId="4" fillId="0" borderId="15" xfId="2" applyFont="1" applyBorder="1" applyAlignment="1">
      <alignment horizontal="right" wrapText="1"/>
    </xf>
    <xf numFmtId="164" fontId="0" fillId="2" borderId="51" xfId="1" applyNumberFormat="1" applyFont="1" applyFill="1" applyBorder="1" applyAlignment="1">
      <alignment horizontal="right" wrapText="1"/>
    </xf>
    <xf numFmtId="0" fontId="6" fillId="0" borderId="9" xfId="0" applyFont="1" applyFill="1" applyBorder="1" applyAlignment="1">
      <alignment wrapText="1"/>
    </xf>
    <xf numFmtId="0" fontId="0" fillId="0" borderId="13" xfId="0" applyFont="1" applyBorder="1" applyAlignment="1">
      <alignment wrapText="1"/>
    </xf>
    <xf numFmtId="164" fontId="0" fillId="2" borderId="52" xfId="1" applyNumberFormat="1" applyFont="1" applyFill="1" applyBorder="1" applyAlignment="1">
      <alignment horizontal="right" wrapText="1"/>
    </xf>
    <xf numFmtId="164" fontId="0" fillId="2" borderId="11" xfId="1" applyNumberFormat="1" applyFont="1" applyFill="1" applyBorder="1" applyAlignment="1">
      <alignment wrapText="1"/>
    </xf>
    <xf numFmtId="164" fontId="0" fillId="0" borderId="11" xfId="1" applyNumberFormat="1" applyFont="1" applyBorder="1" applyAlignment="1">
      <alignment horizontal="right" wrapText="1"/>
    </xf>
    <xf numFmtId="9" fontId="0" fillId="0" borderId="12" xfId="2" applyFont="1" applyBorder="1" applyAlignment="1">
      <alignment horizontal="right" wrapText="1"/>
    </xf>
    <xf numFmtId="164" fontId="0" fillId="0" borderId="18" xfId="2" applyNumberFormat="1" applyFont="1" applyBorder="1" applyAlignment="1">
      <alignment horizontal="right" wrapText="1"/>
    </xf>
    <xf numFmtId="164" fontId="0" fillId="0" borderId="53" xfId="1" applyNumberFormat="1" applyFont="1" applyBorder="1" applyAlignment="1">
      <alignment horizontal="right" wrapText="1"/>
    </xf>
    <xf numFmtId="0" fontId="5" fillId="0" borderId="49" xfId="0" applyFont="1" applyBorder="1" applyAlignment="1">
      <alignment horizontal="right" wrapText="1"/>
    </xf>
    <xf numFmtId="9" fontId="5" fillId="0" borderId="21" xfId="2" applyFont="1" applyBorder="1" applyAlignment="1">
      <alignment horizontal="right" wrapText="1"/>
    </xf>
    <xf numFmtId="9" fontId="4" fillId="0" borderId="28" xfId="2" applyFont="1" applyBorder="1" applyAlignment="1">
      <alignment horizontal="right" wrapText="1"/>
    </xf>
    <xf numFmtId="10" fontId="1" fillId="0" borderId="1" xfId="2" applyNumberFormat="1" applyFont="1" applyBorder="1" applyAlignment="1">
      <alignment horizontal="right" wrapText="1"/>
    </xf>
    <xf numFmtId="164" fontId="0" fillId="0" borderId="1" xfId="0" applyNumberFormat="1" applyFont="1" applyFill="1" applyBorder="1"/>
    <xf numFmtId="164" fontId="0" fillId="0" borderId="7" xfId="0" applyNumberFormat="1" applyFont="1" applyFill="1" applyBorder="1"/>
    <xf numFmtId="0" fontId="6" fillId="0" borderId="42" xfId="0" applyFont="1" applyBorder="1" applyAlignment="1">
      <alignment wrapText="1"/>
    </xf>
    <xf numFmtId="164" fontId="0" fillId="0" borderId="14" xfId="0" applyNumberFormat="1" applyFont="1" applyFill="1" applyBorder="1"/>
    <xf numFmtId="164" fontId="0" fillId="0" borderId="15" xfId="0" applyNumberFormat="1" applyFont="1" applyFill="1" applyBorder="1"/>
    <xf numFmtId="10" fontId="1" fillId="0" borderId="15" xfId="2" applyNumberFormat="1" applyFont="1" applyBorder="1" applyAlignment="1">
      <alignment horizontal="right" wrapText="1"/>
    </xf>
    <xf numFmtId="17" fontId="4" fillId="0" borderId="2" xfId="0" applyNumberFormat="1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  <xf numFmtId="10" fontId="1" fillId="0" borderId="14" xfId="2" applyNumberFormat="1" applyFont="1" applyBorder="1" applyAlignment="1">
      <alignment horizontal="right" wrapText="1"/>
    </xf>
    <xf numFmtId="10" fontId="1" fillId="0" borderId="7" xfId="2" applyNumberFormat="1" applyFont="1" applyBorder="1" applyAlignment="1">
      <alignment horizontal="right" wrapText="1"/>
    </xf>
    <xf numFmtId="10" fontId="1" fillId="0" borderId="14" xfId="2" applyNumberFormat="1" applyFont="1" applyBorder="1"/>
    <xf numFmtId="10" fontId="1" fillId="0" borderId="7" xfId="2" applyNumberFormat="1" applyFont="1" applyBorder="1"/>
    <xf numFmtId="0" fontId="4" fillId="0" borderId="33" xfId="0" applyFont="1" applyBorder="1" applyAlignment="1">
      <alignment horizontal="right" wrapText="1"/>
    </xf>
    <xf numFmtId="164" fontId="1" fillId="0" borderId="10" xfId="1" applyNumberFormat="1" applyFont="1" applyBorder="1"/>
    <xf numFmtId="164" fontId="1" fillId="0" borderId="11" xfId="1" applyNumberFormat="1" applyFont="1" applyBorder="1"/>
    <xf numFmtId="9" fontId="1" fillId="0" borderId="11" xfId="2" applyNumberFormat="1" applyFont="1" applyBorder="1" applyAlignment="1"/>
    <xf numFmtId="9" fontId="1" fillId="0" borderId="10" xfId="2" applyNumberFormat="1" applyFont="1" applyBorder="1" applyAlignment="1"/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/>
    <xf numFmtId="164" fontId="0" fillId="2" borderId="8" xfId="0" applyNumberFormat="1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9" fontId="5" fillId="0" borderId="2" xfId="2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9" fontId="5" fillId="0" borderId="30" xfId="2" applyFont="1" applyBorder="1" applyAlignment="1">
      <alignment horizontal="center"/>
    </xf>
    <xf numFmtId="9" fontId="5" fillId="0" borderId="34" xfId="2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164" fontId="0" fillId="2" borderId="15" xfId="0" applyNumberFormat="1" applyFont="1" applyFill="1" applyBorder="1"/>
    <xf numFmtId="164" fontId="0" fillId="2" borderId="16" xfId="0" applyNumberFormat="1" applyFont="1" applyFill="1" applyBorder="1"/>
    <xf numFmtId="164" fontId="0" fillId="2" borderId="1" xfId="0" applyNumberFormat="1" applyFont="1" applyFill="1" applyBorder="1"/>
    <xf numFmtId="164" fontId="1" fillId="2" borderId="11" xfId="1" applyNumberFormat="1" applyFont="1" applyFill="1" applyBorder="1"/>
    <xf numFmtId="164" fontId="1" fillId="2" borderId="12" xfId="1" applyNumberFormat="1" applyFont="1" applyFill="1" applyBorder="1" applyAlignment="1">
      <alignment horizontal="right" wrapText="1"/>
    </xf>
    <xf numFmtId="164" fontId="1" fillId="2" borderId="12" xfId="1" applyNumberFormat="1" applyFont="1" applyFill="1" applyBorder="1"/>
    <xf numFmtId="164" fontId="1" fillId="2" borderId="15" xfId="1" applyNumberFormat="1" applyFont="1" applyFill="1" applyBorder="1"/>
    <xf numFmtId="0" fontId="10" fillId="0" borderId="40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10" fontId="1" fillId="0" borderId="14" xfId="2" applyNumberFormat="1" applyFont="1" applyFill="1" applyBorder="1"/>
    <xf numFmtId="10" fontId="1" fillId="0" borderId="7" xfId="2" applyNumberFormat="1" applyFont="1" applyFill="1" applyBorder="1"/>
    <xf numFmtId="9" fontId="1" fillId="0" borderId="10" xfId="2" applyNumberFormat="1" applyFont="1" applyFill="1" applyBorder="1" applyAlignment="1"/>
    <xf numFmtId="165" fontId="0" fillId="0" borderId="0" xfId="1" applyNumberFormat="1" applyFont="1"/>
    <xf numFmtId="166" fontId="0" fillId="0" borderId="0" xfId="0" applyNumberFormat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617677</xdr:colOff>
      <xdr:row>44</xdr:row>
      <xdr:rowOff>47143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6727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70</xdr:row>
      <xdr:rowOff>85725</xdr:rowOff>
    </xdr:from>
    <xdr:to>
      <xdr:col>13</xdr:col>
      <xdr:colOff>693875</xdr:colOff>
      <xdr:row>90</xdr:row>
      <xdr:rowOff>170963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3716000"/>
          <a:ext cx="11600000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</xdr:row>
      <xdr:rowOff>76200</xdr:rowOff>
    </xdr:from>
    <xdr:to>
      <xdr:col>13</xdr:col>
      <xdr:colOff>684352</xdr:colOff>
      <xdr:row>67</xdr:row>
      <xdr:rowOff>123343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932497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13</xdr:col>
      <xdr:colOff>589106</xdr:colOff>
      <xdr:row>114</xdr:row>
      <xdr:rowOff>85238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202275"/>
          <a:ext cx="11552381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13</xdr:col>
      <xdr:colOff>598630</xdr:colOff>
      <xdr:row>138</xdr:row>
      <xdr:rowOff>37619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774275"/>
          <a:ext cx="11561905" cy="3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13</xdr:col>
      <xdr:colOff>598630</xdr:colOff>
      <xdr:row>184</xdr:row>
      <xdr:rowOff>37619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537275"/>
          <a:ext cx="11561905" cy="3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13</xdr:col>
      <xdr:colOff>598630</xdr:colOff>
      <xdr:row>207</xdr:row>
      <xdr:rowOff>66190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918775"/>
          <a:ext cx="11561905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13</xdr:col>
      <xdr:colOff>636725</xdr:colOff>
      <xdr:row>161</xdr:row>
      <xdr:rowOff>123333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7155775"/>
          <a:ext cx="11600000" cy="3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24</xdr:row>
      <xdr:rowOff>137583</xdr:rowOff>
    </xdr:from>
    <xdr:to>
      <xdr:col>13</xdr:col>
      <xdr:colOff>712927</xdr:colOff>
      <xdr:row>45</xdr:row>
      <xdr:rowOff>13273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5005916"/>
          <a:ext cx="11580952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13</xdr:col>
      <xdr:colOff>652606</xdr:colOff>
      <xdr:row>185</xdr:row>
      <xdr:rowOff>56667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28833"/>
          <a:ext cx="11552381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13</xdr:col>
      <xdr:colOff>700225</xdr:colOff>
      <xdr:row>208</xdr:row>
      <xdr:rowOff>66190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110333"/>
          <a:ext cx="11600000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13</xdr:col>
      <xdr:colOff>709749</xdr:colOff>
      <xdr:row>162</xdr:row>
      <xdr:rowOff>18571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347333"/>
          <a:ext cx="11609524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13</xdr:col>
      <xdr:colOff>652606</xdr:colOff>
      <xdr:row>91</xdr:row>
      <xdr:rowOff>28095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821833"/>
          <a:ext cx="11552381" cy="3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14</xdr:col>
      <xdr:colOff>23945</xdr:colOff>
      <xdr:row>68</xdr:row>
      <xdr:rowOff>47143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440333"/>
          <a:ext cx="11638095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13</xdr:col>
      <xdr:colOff>681177</xdr:colOff>
      <xdr:row>115</xdr:row>
      <xdr:rowOff>18571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393833"/>
          <a:ext cx="11580952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13</xdr:col>
      <xdr:colOff>681177</xdr:colOff>
      <xdr:row>139</xdr:row>
      <xdr:rowOff>56667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2965833"/>
          <a:ext cx="11580952" cy="3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14</xdr:col>
      <xdr:colOff>192122</xdr:colOff>
      <xdr:row>93</xdr:row>
      <xdr:rowOff>124347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72850"/>
          <a:ext cx="11622122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14</xdr:col>
      <xdr:colOff>125438</xdr:colOff>
      <xdr:row>116</xdr:row>
      <xdr:rowOff>76716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563850"/>
          <a:ext cx="11555438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14</xdr:col>
      <xdr:colOff>154017</xdr:colOff>
      <xdr:row>139</xdr:row>
      <xdr:rowOff>105295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945350"/>
          <a:ext cx="11584017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14</xdr:col>
      <xdr:colOff>106385</xdr:colOff>
      <xdr:row>162</xdr:row>
      <xdr:rowOff>76716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326850"/>
          <a:ext cx="11536385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144490</xdr:colOff>
      <xdr:row>45</xdr:row>
      <xdr:rowOff>124347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896350"/>
          <a:ext cx="11574490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14</xdr:col>
      <xdr:colOff>134964</xdr:colOff>
      <xdr:row>69</xdr:row>
      <xdr:rowOff>86242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3087350"/>
          <a:ext cx="11564964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14</xdr:col>
      <xdr:colOff>134964</xdr:colOff>
      <xdr:row>209</xdr:row>
      <xdr:rowOff>133874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566350"/>
          <a:ext cx="11564964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14</xdr:col>
      <xdr:colOff>58753</xdr:colOff>
      <xdr:row>232</xdr:row>
      <xdr:rowOff>133874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519850"/>
          <a:ext cx="11488753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14</xdr:col>
      <xdr:colOff>125438</xdr:colOff>
      <xdr:row>185</xdr:row>
      <xdr:rowOff>76716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5566350"/>
          <a:ext cx="11555438" cy="369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workbookViewId="0">
      <selection activeCell="E8" sqref="E8:E9"/>
    </sheetView>
  </sheetViews>
  <sheetFormatPr defaultRowHeight="15" x14ac:dyDescent="0.25"/>
  <cols>
    <col min="1" max="1" width="30.140625" bestFit="1" customWidth="1"/>
    <col min="2" max="5" width="10.5703125" bestFit="1" customWidth="1"/>
    <col min="6" max="6" width="13.7109375" bestFit="1" customWidth="1"/>
    <col min="7" max="7" width="14.42578125" customWidth="1"/>
    <col min="8" max="8" width="10" bestFit="1" customWidth="1"/>
    <col min="9" max="9" width="10.5703125" bestFit="1" customWidth="1"/>
    <col min="10" max="10" width="8.28515625" bestFit="1" customWidth="1"/>
    <col min="11" max="11" width="12.5703125" bestFit="1" customWidth="1"/>
    <col min="12" max="12" width="11.7109375" bestFit="1" customWidth="1"/>
    <col min="13" max="13" width="10.7109375" bestFit="1" customWidth="1"/>
    <col min="14" max="14" width="11.42578125" bestFit="1" customWidth="1"/>
    <col min="15" max="15" width="11.42578125" customWidth="1"/>
    <col min="16" max="16" width="8.28515625" bestFit="1" customWidth="1"/>
    <col min="17" max="17" width="12.5703125" bestFit="1" customWidth="1"/>
    <col min="18" max="18" width="11.7109375" customWidth="1"/>
  </cols>
  <sheetData>
    <row r="1" spans="1:18" s="56" customFormat="1" ht="19.5" thickBot="1" x14ac:dyDescent="0.35">
      <c r="A1" s="179" t="s">
        <v>56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1"/>
      <c r="M1" s="55"/>
      <c r="N1" s="55"/>
      <c r="O1" s="55"/>
      <c r="P1" s="55"/>
      <c r="Q1" s="55"/>
      <c r="R1" s="55"/>
    </row>
    <row r="3" spans="1:18" x14ac:dyDescent="0.25">
      <c r="A3" s="1" t="s">
        <v>0</v>
      </c>
      <c r="B3" s="2">
        <f>+B5/B4</f>
        <v>3.35</v>
      </c>
      <c r="F3" s="29"/>
      <c r="G3" s="29"/>
      <c r="I3" s="3"/>
      <c r="J3" s="3"/>
      <c r="L3" s="4"/>
      <c r="M3" s="4"/>
      <c r="N3" s="3"/>
      <c r="O3" s="3"/>
      <c r="P3" s="3"/>
      <c r="Q3" s="3"/>
      <c r="R3" s="3"/>
    </row>
    <row r="4" spans="1:18" x14ac:dyDescent="0.25">
      <c r="A4" s="1" t="s">
        <v>1</v>
      </c>
      <c r="B4" s="6">
        <v>6000</v>
      </c>
      <c r="F4" s="29"/>
      <c r="G4" s="29"/>
      <c r="I4" s="3"/>
      <c r="J4" s="3"/>
      <c r="L4" s="4"/>
      <c r="M4" s="4"/>
      <c r="N4" s="135"/>
      <c r="O4" s="135"/>
      <c r="P4" s="135"/>
      <c r="Q4" s="135"/>
      <c r="R4" s="135"/>
    </row>
    <row r="5" spans="1:18" x14ac:dyDescent="0.25">
      <c r="A5" s="1" t="s">
        <v>2</v>
      </c>
      <c r="B5" s="6">
        <v>20100</v>
      </c>
      <c r="F5" s="29"/>
      <c r="G5" s="29"/>
      <c r="I5" s="3"/>
      <c r="J5" s="3"/>
      <c r="K5" s="7"/>
      <c r="L5" s="4"/>
      <c r="M5" s="4"/>
      <c r="N5" s="4"/>
      <c r="O5" s="4"/>
      <c r="P5" s="135"/>
      <c r="Q5" s="135"/>
      <c r="R5" s="135"/>
    </row>
    <row r="6" spans="1:18" ht="15.75" thickBot="1" x14ac:dyDescent="0.3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8" ht="15.75" customHeight="1" thickBot="1" x14ac:dyDescent="0.3">
      <c r="A7" s="9"/>
      <c r="B7" s="182" t="s">
        <v>3</v>
      </c>
      <c r="C7" s="183"/>
      <c r="D7" s="183"/>
      <c r="E7" s="183"/>
      <c r="F7" s="184"/>
      <c r="G7" s="136" t="s">
        <v>34</v>
      </c>
      <c r="H7" s="185" t="s">
        <v>4</v>
      </c>
      <c r="I7" s="186"/>
      <c r="J7" s="186"/>
      <c r="K7" s="186"/>
      <c r="L7" s="187"/>
    </row>
    <row r="8" spans="1:18" ht="30" x14ac:dyDescent="0.25">
      <c r="A8" s="188" t="s">
        <v>5</v>
      </c>
      <c r="B8" s="137" t="s">
        <v>27</v>
      </c>
      <c r="C8" s="138" t="s">
        <v>6</v>
      </c>
      <c r="D8" s="138" t="s">
        <v>30</v>
      </c>
      <c r="E8" s="49" t="s">
        <v>41</v>
      </c>
      <c r="F8" s="139" t="s">
        <v>7</v>
      </c>
      <c r="G8" s="140" t="s">
        <v>8</v>
      </c>
      <c r="H8" s="94" t="s">
        <v>37</v>
      </c>
      <c r="I8" s="49" t="s">
        <v>38</v>
      </c>
      <c r="J8" s="49" t="s">
        <v>9</v>
      </c>
      <c r="K8" s="49" t="s">
        <v>35</v>
      </c>
      <c r="L8" s="50" t="s">
        <v>10</v>
      </c>
      <c r="M8" s="10"/>
    </row>
    <row r="9" spans="1:18" ht="15.75" thickBot="1" x14ac:dyDescent="0.3">
      <c r="A9" s="189"/>
      <c r="B9" s="11" t="s">
        <v>11</v>
      </c>
      <c r="C9" s="12" t="s">
        <v>11</v>
      </c>
      <c r="D9" s="12" t="s">
        <v>11</v>
      </c>
      <c r="E9" s="12" t="s">
        <v>11</v>
      </c>
      <c r="F9" s="129" t="s">
        <v>13</v>
      </c>
      <c r="G9" s="13" t="s">
        <v>12</v>
      </c>
      <c r="H9" s="11" t="s">
        <v>39</v>
      </c>
      <c r="I9" s="12" t="s">
        <v>39</v>
      </c>
      <c r="J9" s="12" t="s">
        <v>14</v>
      </c>
      <c r="K9" s="12" t="s">
        <v>13</v>
      </c>
      <c r="L9" s="14" t="s">
        <v>15</v>
      </c>
      <c r="M9" s="15"/>
    </row>
    <row r="10" spans="1:18" x14ac:dyDescent="0.25">
      <c r="A10" s="30" t="s">
        <v>25</v>
      </c>
      <c r="B10" s="141">
        <v>1220.0999999999999</v>
      </c>
      <c r="C10" s="16">
        <v>131.6</v>
      </c>
      <c r="D10" s="16">
        <v>158.80000000000001</v>
      </c>
      <c r="E10" s="17">
        <f>+B10+C10+D10</f>
        <v>1510.4999999999998</v>
      </c>
      <c r="F10" s="142">
        <f t="shared" ref="F10:F17" si="0">+E10/$B$20</f>
        <v>0.30149098820382825</v>
      </c>
      <c r="G10" s="18">
        <v>3590</v>
      </c>
      <c r="H10" s="19">
        <f t="shared" ref="H10:H18" si="1">+F10*$B$4</f>
        <v>1808.9459292229694</v>
      </c>
      <c r="I10" s="143">
        <v>1590</v>
      </c>
      <c r="J10" s="17">
        <f>+I10*$B$3</f>
        <v>5326.5</v>
      </c>
      <c r="K10" s="144">
        <f>+(G10-I10)/I10</f>
        <v>1.2578616352201257</v>
      </c>
      <c r="L10" s="20">
        <f>+J10/G10</f>
        <v>1.4837047353760446</v>
      </c>
      <c r="N10" s="28"/>
    </row>
    <row r="11" spans="1:18" x14ac:dyDescent="0.25">
      <c r="A11" s="31" t="s">
        <v>21</v>
      </c>
      <c r="B11" s="145">
        <v>1475.8</v>
      </c>
      <c r="C11" s="21">
        <v>198.2</v>
      </c>
      <c r="D11" s="21">
        <v>130.69999999999999</v>
      </c>
      <c r="E11" s="17">
        <f t="shared" ref="E11:E17" si="2">+B11+C11+D11</f>
        <v>1804.7</v>
      </c>
      <c r="F11" s="142">
        <f t="shared" si="0"/>
        <v>0.3602123710105587</v>
      </c>
      <c r="G11" s="23">
        <v>3920</v>
      </c>
      <c r="H11" s="19">
        <f t="shared" si="1"/>
        <v>2161.2742260633522</v>
      </c>
      <c r="I11" s="143">
        <v>1970</v>
      </c>
      <c r="J11" s="17">
        <f t="shared" ref="J11:J17" si="3">+I11*$B$3</f>
        <v>6599.5</v>
      </c>
      <c r="K11" s="144">
        <f t="shared" ref="K11:K16" si="4">+(G11-I11)/I11</f>
        <v>0.98984771573604058</v>
      </c>
      <c r="L11" s="20">
        <f t="shared" ref="L11:L16" si="5">+J11/G11</f>
        <v>1.6835459183673469</v>
      </c>
      <c r="N11" s="28"/>
    </row>
    <row r="12" spans="1:18" x14ac:dyDescent="0.25">
      <c r="A12" s="31" t="s">
        <v>23</v>
      </c>
      <c r="B12" s="145">
        <v>660.6</v>
      </c>
      <c r="C12" s="21">
        <v>72.400000000000006</v>
      </c>
      <c r="D12" s="21">
        <v>65</v>
      </c>
      <c r="E12" s="17">
        <f t="shared" si="2"/>
        <v>798</v>
      </c>
      <c r="F12" s="142">
        <f t="shared" si="0"/>
        <v>0.15927825791900363</v>
      </c>
      <c r="G12" s="23">
        <v>1700</v>
      </c>
      <c r="H12" s="19">
        <f t="shared" si="1"/>
        <v>955.66954751402182</v>
      </c>
      <c r="I12" s="143">
        <v>900</v>
      </c>
      <c r="J12" s="17">
        <f t="shared" si="3"/>
        <v>3015</v>
      </c>
      <c r="K12" s="144">
        <f t="shared" si="4"/>
        <v>0.88888888888888884</v>
      </c>
      <c r="L12" s="20">
        <f t="shared" si="5"/>
        <v>1.7735294117647058</v>
      </c>
      <c r="N12" s="28"/>
    </row>
    <row r="13" spans="1:18" x14ac:dyDescent="0.25">
      <c r="A13" s="31" t="s">
        <v>26</v>
      </c>
      <c r="B13" s="145">
        <v>486.3</v>
      </c>
      <c r="C13" s="21">
        <v>62.7</v>
      </c>
      <c r="D13" s="21">
        <v>56.9</v>
      </c>
      <c r="E13" s="17">
        <f t="shared" si="2"/>
        <v>605.9</v>
      </c>
      <c r="F13" s="142">
        <f t="shared" si="0"/>
        <v>0.12093570986607055</v>
      </c>
      <c r="G13" s="23">
        <v>1340</v>
      </c>
      <c r="H13" s="19">
        <f t="shared" si="1"/>
        <v>725.61425919642329</v>
      </c>
      <c r="I13" s="143">
        <v>680</v>
      </c>
      <c r="J13" s="17">
        <f t="shared" si="3"/>
        <v>2278</v>
      </c>
      <c r="K13" s="144">
        <f t="shared" si="4"/>
        <v>0.97058823529411764</v>
      </c>
      <c r="L13" s="20">
        <f t="shared" si="5"/>
        <v>1.7</v>
      </c>
      <c r="N13" s="28"/>
    </row>
    <row r="14" spans="1:18" x14ac:dyDescent="0.25">
      <c r="A14" s="31" t="s">
        <v>22</v>
      </c>
      <c r="B14" s="145">
        <v>199.6</v>
      </c>
      <c r="C14" s="21">
        <v>45.3</v>
      </c>
      <c r="D14" s="21">
        <v>33.1</v>
      </c>
      <c r="E14" s="17">
        <f t="shared" si="2"/>
        <v>278</v>
      </c>
      <c r="F14" s="142">
        <f t="shared" si="0"/>
        <v>5.5487914412885975E-2</v>
      </c>
      <c r="G14" s="23">
        <v>694.81</v>
      </c>
      <c r="H14" s="19">
        <f t="shared" si="1"/>
        <v>332.92748647731582</v>
      </c>
      <c r="I14" s="143">
        <v>460</v>
      </c>
      <c r="J14" s="17">
        <f t="shared" si="3"/>
        <v>1541</v>
      </c>
      <c r="K14" s="144">
        <f t="shared" si="4"/>
        <v>0.51045652173913036</v>
      </c>
      <c r="L14" s="20">
        <f t="shared" si="5"/>
        <v>2.2178725119097309</v>
      </c>
      <c r="N14" s="28"/>
    </row>
    <row r="15" spans="1:18" x14ac:dyDescent="0.25">
      <c r="A15" s="31" t="s">
        <v>19</v>
      </c>
      <c r="B15" s="145">
        <v>4.7</v>
      </c>
      <c r="C15" s="21">
        <v>0.9</v>
      </c>
      <c r="D15" s="21">
        <v>1</v>
      </c>
      <c r="E15" s="17">
        <f t="shared" si="2"/>
        <v>6.6000000000000005</v>
      </c>
      <c r="F15" s="142">
        <f t="shared" si="0"/>
        <v>1.317338975269955E-3</v>
      </c>
      <c r="G15" s="23">
        <v>167.95</v>
      </c>
      <c r="H15" s="19">
        <f t="shared" si="1"/>
        <v>7.9040338516197304</v>
      </c>
      <c r="I15" s="143">
        <v>220</v>
      </c>
      <c r="J15" s="17">
        <f t="shared" si="3"/>
        <v>737</v>
      </c>
      <c r="K15" s="144">
        <f t="shared" si="4"/>
        <v>-0.23659090909090913</v>
      </c>
      <c r="L15" s="20">
        <f t="shared" si="5"/>
        <v>4.3882107770169698</v>
      </c>
      <c r="N15" s="28"/>
    </row>
    <row r="16" spans="1:18" x14ac:dyDescent="0.25">
      <c r="A16" s="31" t="s">
        <v>20</v>
      </c>
      <c r="B16" s="145">
        <v>4.5999999999999996</v>
      </c>
      <c r="C16" s="21">
        <v>1.9</v>
      </c>
      <c r="D16" s="21">
        <v>0</v>
      </c>
      <c r="E16" s="17">
        <f t="shared" si="2"/>
        <v>6.5</v>
      </c>
      <c r="F16" s="142">
        <f t="shared" si="0"/>
        <v>1.2973792938264707E-3</v>
      </c>
      <c r="G16" s="23">
        <v>250.64</v>
      </c>
      <c r="H16" s="19">
        <f t="shared" si="1"/>
        <v>7.7842757629588242</v>
      </c>
      <c r="I16" s="143">
        <v>80</v>
      </c>
      <c r="J16" s="17">
        <f t="shared" si="3"/>
        <v>268</v>
      </c>
      <c r="K16" s="144">
        <f t="shared" si="4"/>
        <v>2.133</v>
      </c>
      <c r="L16" s="20">
        <f t="shared" si="5"/>
        <v>1.0692626875199489</v>
      </c>
      <c r="N16" s="28"/>
    </row>
    <row r="17" spans="1:14" x14ac:dyDescent="0.25">
      <c r="A17" s="31" t="s">
        <v>24</v>
      </c>
      <c r="B17" s="145">
        <v>0</v>
      </c>
      <c r="C17" s="24">
        <v>0</v>
      </c>
      <c r="D17" s="24">
        <v>0</v>
      </c>
      <c r="E17" s="17">
        <f t="shared" si="2"/>
        <v>0</v>
      </c>
      <c r="F17" s="142">
        <f t="shared" si="0"/>
        <v>0</v>
      </c>
      <c r="G17" s="23"/>
      <c r="H17" s="19">
        <f t="shared" si="1"/>
        <v>0</v>
      </c>
      <c r="I17" s="143">
        <v>100</v>
      </c>
      <c r="J17" s="17">
        <f t="shared" si="3"/>
        <v>335</v>
      </c>
      <c r="K17" s="144"/>
      <c r="L17" s="20"/>
      <c r="N17" s="28"/>
    </row>
    <row r="18" spans="1:14" x14ac:dyDescent="0.25">
      <c r="A18" s="146" t="s">
        <v>16</v>
      </c>
      <c r="B18" s="145">
        <v>512.9</v>
      </c>
      <c r="C18" s="21"/>
      <c r="D18" s="21"/>
      <c r="E18" s="22"/>
      <c r="F18" s="142"/>
      <c r="G18" s="23"/>
      <c r="H18" s="19">
        <f t="shared" si="1"/>
        <v>0</v>
      </c>
      <c r="I18" s="143"/>
      <c r="J18" s="17">
        <f>+H18*$B$3</f>
        <v>0</v>
      </c>
      <c r="K18" s="144"/>
      <c r="L18" s="20"/>
      <c r="N18" s="28"/>
    </row>
    <row r="19" spans="1:14" ht="15.75" thickBot="1" x14ac:dyDescent="0.3">
      <c r="A19" s="147" t="s">
        <v>28</v>
      </c>
      <c r="B19" s="148">
        <v>445.5</v>
      </c>
      <c r="C19" s="149"/>
      <c r="D19" s="149"/>
      <c r="E19" s="150"/>
      <c r="F19" s="151"/>
      <c r="G19" s="152"/>
      <c r="H19" s="33"/>
      <c r="I19" s="153"/>
      <c r="J19" s="34"/>
      <c r="K19" s="35"/>
      <c r="L19" s="36"/>
      <c r="N19" s="28"/>
    </row>
    <row r="20" spans="1:14" s="26" customFormat="1" ht="15.75" thickBot="1" x14ac:dyDescent="0.3">
      <c r="A20" s="154" t="s">
        <v>17</v>
      </c>
      <c r="B20" s="133">
        <f>SUM(B10:B19)</f>
        <v>5010.0999999999995</v>
      </c>
      <c r="C20" s="25">
        <f>SUM(C10:C19)</f>
        <v>512.99999999999989</v>
      </c>
      <c r="D20" s="25">
        <f>SUM(D10:D19)</f>
        <v>445.5</v>
      </c>
      <c r="E20" s="25">
        <f>SUM(E10:E18)</f>
        <v>5010.2</v>
      </c>
      <c r="F20" s="155">
        <f>SUM(F10:F18)</f>
        <v>1.0000199596814436</v>
      </c>
      <c r="G20" s="32">
        <f>SUM(G10:G19)</f>
        <v>11663.4</v>
      </c>
      <c r="H20" s="37">
        <f>SUM(H10:H19)</f>
        <v>6000.119758088661</v>
      </c>
      <c r="I20" s="38">
        <f>SUM(I10:I19)</f>
        <v>6000</v>
      </c>
      <c r="J20" s="38">
        <f>SUM(J10:J19)</f>
        <v>20100</v>
      </c>
      <c r="K20" s="156">
        <f>+(G20-I20)/I20</f>
        <v>0.94389999999999996</v>
      </c>
      <c r="L20" s="39">
        <f>+J20/G20</f>
        <v>1.7233396779669736</v>
      </c>
      <c r="N20" s="28"/>
    </row>
    <row r="21" spans="1:14" x14ac:dyDescent="0.25">
      <c r="N21" s="28"/>
    </row>
    <row r="22" spans="1:14" x14ac:dyDescent="0.25">
      <c r="A22" s="27"/>
      <c r="N22" s="28"/>
    </row>
    <row r="23" spans="1:14" x14ac:dyDescent="0.25">
      <c r="A23" t="s">
        <v>18</v>
      </c>
    </row>
    <row r="47" spans="1:1" x14ac:dyDescent="0.25">
      <c r="A47" t="s">
        <v>21</v>
      </c>
    </row>
    <row r="70" spans="1:1" x14ac:dyDescent="0.25">
      <c r="A70" t="s">
        <v>29</v>
      </c>
    </row>
    <row r="94" spans="1:1" x14ac:dyDescent="0.25">
      <c r="A94" t="s">
        <v>31</v>
      </c>
    </row>
    <row r="118" spans="1:1" x14ac:dyDescent="0.25">
      <c r="A118" t="s">
        <v>32</v>
      </c>
    </row>
    <row r="141" spans="1:1" x14ac:dyDescent="0.25">
      <c r="A141" t="s">
        <v>22</v>
      </c>
    </row>
    <row r="164" spans="1:1" x14ac:dyDescent="0.25">
      <c r="A164" t="s">
        <v>19</v>
      </c>
    </row>
    <row r="187" spans="1:1" x14ac:dyDescent="0.25">
      <c r="A187" t="s">
        <v>33</v>
      </c>
    </row>
  </sheetData>
  <mergeCells count="4">
    <mergeCell ref="A1:L1"/>
    <mergeCell ref="B7:F7"/>
    <mergeCell ref="H7:L7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zoomScaleNormal="100" workbookViewId="0">
      <selection activeCell="B6" sqref="B6"/>
    </sheetView>
  </sheetViews>
  <sheetFormatPr defaultRowHeight="15" x14ac:dyDescent="0.25"/>
  <cols>
    <col min="1" max="1" width="28.28515625" customWidth="1"/>
    <col min="2" max="4" width="10.5703125" bestFit="1" customWidth="1"/>
    <col min="5" max="5" width="10.5703125" customWidth="1"/>
    <col min="6" max="6" width="13.7109375" bestFit="1" customWidth="1"/>
    <col min="7" max="7" width="14.42578125" customWidth="1"/>
    <col min="8" max="8" width="10" bestFit="1" customWidth="1"/>
    <col min="9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  <col min="14" max="14" width="10.7109375" bestFit="1" customWidth="1"/>
  </cols>
  <sheetData>
    <row r="1" spans="1:14" s="56" customFormat="1" ht="18.75" x14ac:dyDescent="0.3">
      <c r="A1" s="190" t="s">
        <v>36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55"/>
    </row>
    <row r="3" spans="1:14" x14ac:dyDescent="0.25">
      <c r="A3" s="1" t="s">
        <v>0</v>
      </c>
      <c r="B3" s="2">
        <f>+B6/B4</f>
        <v>3.35</v>
      </c>
      <c r="F3" s="29"/>
      <c r="G3" s="29"/>
      <c r="H3" s="29"/>
      <c r="J3" s="3"/>
      <c r="K3" s="3"/>
      <c r="M3" s="4"/>
      <c r="N3" s="4"/>
    </row>
    <row r="4" spans="1:14" x14ac:dyDescent="0.25">
      <c r="A4" s="1" t="s">
        <v>1</v>
      </c>
      <c r="B4" s="6">
        <v>6000</v>
      </c>
      <c r="F4" s="29"/>
      <c r="G4" s="29"/>
      <c r="H4" s="29"/>
      <c r="J4" s="3"/>
      <c r="K4" s="3"/>
      <c r="M4" s="4"/>
      <c r="N4" s="4"/>
    </row>
    <row r="5" spans="1:14" x14ac:dyDescent="0.25">
      <c r="A5" s="1" t="s">
        <v>52</v>
      </c>
      <c r="B5" s="6">
        <v>6150</v>
      </c>
      <c r="F5" s="29"/>
      <c r="G5" s="29"/>
      <c r="H5" s="29"/>
      <c r="J5" s="3"/>
      <c r="K5" s="3"/>
      <c r="M5" s="4"/>
      <c r="N5" s="4"/>
    </row>
    <row r="6" spans="1:14" x14ac:dyDescent="0.25">
      <c r="A6" s="1" t="s">
        <v>2</v>
      </c>
      <c r="B6" s="6">
        <v>20100</v>
      </c>
      <c r="F6" s="29"/>
      <c r="G6" s="29"/>
      <c r="H6" s="29"/>
      <c r="J6" s="3"/>
      <c r="K6" s="3"/>
      <c r="L6" s="7"/>
      <c r="M6" s="4"/>
      <c r="N6" s="4"/>
    </row>
    <row r="7" spans="1:14" ht="15.75" thickBot="1" x14ac:dyDescent="0.3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5.75" customHeight="1" thickBot="1" x14ac:dyDescent="0.3">
      <c r="A8" s="9"/>
      <c r="B8" s="193" t="s">
        <v>3</v>
      </c>
      <c r="C8" s="194"/>
      <c r="D8" s="194"/>
      <c r="E8" s="194"/>
      <c r="F8" s="194"/>
      <c r="G8" s="63" t="s">
        <v>34</v>
      </c>
      <c r="H8" s="185" t="s">
        <v>4</v>
      </c>
      <c r="I8" s="186"/>
      <c r="J8" s="186"/>
      <c r="K8" s="186"/>
      <c r="L8" s="186"/>
      <c r="M8" s="187"/>
    </row>
    <row r="9" spans="1:14" ht="30" x14ac:dyDescent="0.25">
      <c r="A9" s="191" t="s">
        <v>5</v>
      </c>
      <c r="B9" s="48" t="s">
        <v>27</v>
      </c>
      <c r="C9" s="49" t="s">
        <v>6</v>
      </c>
      <c r="D9" s="49" t="s">
        <v>30</v>
      </c>
      <c r="E9" s="49" t="s">
        <v>41</v>
      </c>
      <c r="F9" s="57" t="s">
        <v>7</v>
      </c>
      <c r="G9" s="64" t="s">
        <v>8</v>
      </c>
      <c r="H9" s="48" t="s">
        <v>37</v>
      </c>
      <c r="I9" s="49" t="s">
        <v>38</v>
      </c>
      <c r="J9" s="49" t="s">
        <v>40</v>
      </c>
      <c r="K9" s="49" t="s">
        <v>9</v>
      </c>
      <c r="L9" s="49" t="s">
        <v>35</v>
      </c>
      <c r="M9" s="50" t="s">
        <v>10</v>
      </c>
      <c r="N9" s="10"/>
    </row>
    <row r="10" spans="1:14" ht="15.75" thickBot="1" x14ac:dyDescent="0.3">
      <c r="A10" s="192"/>
      <c r="B10" s="11" t="s">
        <v>11</v>
      </c>
      <c r="C10" s="12" t="s">
        <v>11</v>
      </c>
      <c r="D10" s="12" t="s">
        <v>11</v>
      </c>
      <c r="E10" s="12" t="s">
        <v>11</v>
      </c>
      <c r="F10" s="58" t="s">
        <v>13</v>
      </c>
      <c r="G10" s="65" t="s">
        <v>12</v>
      </c>
      <c r="H10" s="69" t="s">
        <v>39</v>
      </c>
      <c r="I10" s="70" t="s">
        <v>39</v>
      </c>
      <c r="J10" s="70" t="s">
        <v>13</v>
      </c>
      <c r="K10" s="70" t="s">
        <v>14</v>
      </c>
      <c r="L10" s="70" t="s">
        <v>13</v>
      </c>
      <c r="M10" s="71" t="s">
        <v>15</v>
      </c>
      <c r="N10" s="15"/>
    </row>
    <row r="11" spans="1:14" x14ac:dyDescent="0.25">
      <c r="A11" s="40" t="s">
        <v>25</v>
      </c>
      <c r="B11" s="47">
        <v>1385.7</v>
      </c>
      <c r="C11" s="16">
        <v>134.1</v>
      </c>
      <c r="D11" s="16">
        <v>155.30000000000001</v>
      </c>
      <c r="E11" s="17">
        <f>+B11+C11+D11</f>
        <v>1675.1</v>
      </c>
      <c r="F11" s="59">
        <f t="shared" ref="F11:F18" si="0">+E11/$B$21</f>
        <v>0.32715518925041992</v>
      </c>
      <c r="G11" s="66">
        <v>3770</v>
      </c>
      <c r="H11" s="73">
        <f>+F11*$B$4</f>
        <v>1962.9311355025195</v>
      </c>
      <c r="I11" s="74">
        <v>1590</v>
      </c>
      <c r="J11" s="75">
        <f>+I11/$I$21</f>
        <v>0.26500000000000001</v>
      </c>
      <c r="K11" s="74">
        <f t="shared" ref="K11:K18" si="1">+I11*$B$3</f>
        <v>5326.5</v>
      </c>
      <c r="L11" s="76">
        <f t="shared" ref="L11:L17" si="2">+(G11-I11)/I11</f>
        <v>1.371069182389937</v>
      </c>
      <c r="M11" s="77">
        <f>+K11/G11</f>
        <v>1.4128647214854111</v>
      </c>
      <c r="N11" s="28"/>
    </row>
    <row r="12" spans="1:14" x14ac:dyDescent="0.25">
      <c r="A12" s="41" t="s">
        <v>21</v>
      </c>
      <c r="B12" s="46">
        <v>1628.3</v>
      </c>
      <c r="C12" s="21">
        <v>214.4</v>
      </c>
      <c r="D12" s="21">
        <v>129.6</v>
      </c>
      <c r="E12" s="22">
        <f t="shared" ref="E12:E18" si="3">+B12+C12+D12</f>
        <v>1972.3</v>
      </c>
      <c r="F12" s="60">
        <f t="shared" si="0"/>
        <v>0.38519979688293426</v>
      </c>
      <c r="G12" s="67">
        <v>4160</v>
      </c>
      <c r="H12" s="78">
        <f t="shared" ref="H12:H19" si="4">+F12*$B$4</f>
        <v>2311.1987812976054</v>
      </c>
      <c r="I12" s="22">
        <v>1970</v>
      </c>
      <c r="J12" s="45">
        <f t="shared" ref="J12:J18" si="5">+I12/$I$21</f>
        <v>0.32833333333333331</v>
      </c>
      <c r="K12" s="22">
        <f t="shared" si="1"/>
        <v>6599.5</v>
      </c>
      <c r="L12" s="72">
        <f t="shared" si="2"/>
        <v>1.1116751269035532</v>
      </c>
      <c r="M12" s="79">
        <f t="shared" ref="M12:M17" si="6">+K12/G12</f>
        <v>1.5864182692307693</v>
      </c>
      <c r="N12" s="28"/>
    </row>
    <row r="13" spans="1:14" x14ac:dyDescent="0.25">
      <c r="A13" s="41" t="s">
        <v>23</v>
      </c>
      <c r="B13" s="46">
        <v>531.79999999999995</v>
      </c>
      <c r="C13" s="21">
        <v>70.599999999999994</v>
      </c>
      <c r="D13" s="21">
        <v>56</v>
      </c>
      <c r="E13" s="22">
        <f t="shared" si="3"/>
        <v>658.4</v>
      </c>
      <c r="F13" s="60">
        <f t="shared" si="0"/>
        <v>0.12858872700285146</v>
      </c>
      <c r="G13" s="67">
        <v>1690</v>
      </c>
      <c r="H13" s="78">
        <f t="shared" si="4"/>
        <v>771.53236201710877</v>
      </c>
      <c r="I13" s="22">
        <v>900</v>
      </c>
      <c r="J13" s="45">
        <f t="shared" si="5"/>
        <v>0.15</v>
      </c>
      <c r="K13" s="22">
        <f t="shared" si="1"/>
        <v>3015</v>
      </c>
      <c r="L13" s="72">
        <f t="shared" si="2"/>
        <v>0.87777777777777777</v>
      </c>
      <c r="M13" s="79">
        <f t="shared" si="6"/>
        <v>1.7840236686390532</v>
      </c>
      <c r="N13" s="28"/>
    </row>
    <row r="14" spans="1:14" x14ac:dyDescent="0.25">
      <c r="A14" s="41" t="s">
        <v>26</v>
      </c>
      <c r="B14" s="46">
        <v>377.4</v>
      </c>
      <c r="C14" s="21">
        <v>63.3</v>
      </c>
      <c r="D14" s="21">
        <v>57.7</v>
      </c>
      <c r="E14" s="22">
        <f t="shared" si="3"/>
        <v>498.4</v>
      </c>
      <c r="F14" s="60">
        <f t="shared" si="0"/>
        <v>9.7339947658294596E-2</v>
      </c>
      <c r="G14" s="67">
        <v>1400</v>
      </c>
      <c r="H14" s="78">
        <f t="shared" si="4"/>
        <v>584.03968594976755</v>
      </c>
      <c r="I14" s="80">
        <v>680</v>
      </c>
      <c r="J14" s="83">
        <f t="shared" si="5"/>
        <v>0.11333333333333333</v>
      </c>
      <c r="K14" s="80">
        <f t="shared" si="1"/>
        <v>2278</v>
      </c>
      <c r="L14" s="72">
        <f t="shared" si="2"/>
        <v>1.0588235294117647</v>
      </c>
      <c r="M14" s="79">
        <f t="shared" si="6"/>
        <v>1.6271428571428572</v>
      </c>
      <c r="N14" s="28"/>
    </row>
    <row r="15" spans="1:14" x14ac:dyDescent="0.25">
      <c r="A15" s="41" t="s">
        <v>22</v>
      </c>
      <c r="B15" s="46">
        <v>221</v>
      </c>
      <c r="C15" s="21">
        <v>46.8</v>
      </c>
      <c r="D15" s="21">
        <v>33</v>
      </c>
      <c r="E15" s="22">
        <f t="shared" si="3"/>
        <v>300.8</v>
      </c>
      <c r="F15" s="60">
        <f t="shared" si="0"/>
        <v>5.8747705167766888E-2</v>
      </c>
      <c r="G15" s="67">
        <v>748.78</v>
      </c>
      <c r="H15" s="78">
        <f t="shared" si="4"/>
        <v>352.48623100660132</v>
      </c>
      <c r="I15" s="22">
        <v>460</v>
      </c>
      <c r="J15" s="45">
        <f t="shared" si="5"/>
        <v>7.6666666666666661E-2</v>
      </c>
      <c r="K15" s="22">
        <f t="shared" si="1"/>
        <v>1541</v>
      </c>
      <c r="L15" s="72">
        <f t="shared" si="2"/>
        <v>0.62778260869565217</v>
      </c>
      <c r="M15" s="79">
        <f t="shared" si="6"/>
        <v>2.0580143700419349</v>
      </c>
      <c r="N15" s="28"/>
    </row>
    <row r="16" spans="1:14" x14ac:dyDescent="0.25">
      <c r="A16" s="41" t="s">
        <v>19</v>
      </c>
      <c r="B16" s="46">
        <v>5</v>
      </c>
      <c r="C16" s="21">
        <v>1</v>
      </c>
      <c r="D16" s="21">
        <v>0.6</v>
      </c>
      <c r="E16" s="22">
        <f t="shared" si="3"/>
        <v>6.6</v>
      </c>
      <c r="F16" s="60">
        <f t="shared" si="0"/>
        <v>1.2890121479629702E-3</v>
      </c>
      <c r="G16" s="67">
        <v>110.23</v>
      </c>
      <c r="H16" s="78">
        <f t="shared" si="4"/>
        <v>7.7340728877778213</v>
      </c>
      <c r="I16" s="22">
        <v>220</v>
      </c>
      <c r="J16" s="45">
        <f t="shared" si="5"/>
        <v>3.6666666666666667E-2</v>
      </c>
      <c r="K16" s="22">
        <f t="shared" si="1"/>
        <v>737</v>
      </c>
      <c r="L16" s="72">
        <f t="shared" si="2"/>
        <v>-0.49895454545454543</v>
      </c>
      <c r="M16" s="79"/>
      <c r="N16" s="28"/>
    </row>
    <row r="17" spans="1:14" x14ac:dyDescent="0.25">
      <c r="A17" s="41" t="s">
        <v>20</v>
      </c>
      <c r="B17" s="46">
        <v>6.4</v>
      </c>
      <c r="C17" s="21">
        <v>2.2999999999999998</v>
      </c>
      <c r="D17" s="21">
        <v>0</v>
      </c>
      <c r="E17" s="22">
        <f t="shared" si="3"/>
        <v>8.6999999999999993</v>
      </c>
      <c r="F17" s="60">
        <f t="shared" si="0"/>
        <v>1.6991523768602789E-3</v>
      </c>
      <c r="G17" s="67">
        <v>109.02</v>
      </c>
      <c r="H17" s="78">
        <f t="shared" si="4"/>
        <v>10.194914261161673</v>
      </c>
      <c r="I17" s="22">
        <v>80</v>
      </c>
      <c r="J17" s="45">
        <f t="shared" si="5"/>
        <v>1.3333333333333334E-2</v>
      </c>
      <c r="K17" s="22">
        <f t="shared" si="1"/>
        <v>268</v>
      </c>
      <c r="L17" s="72">
        <f t="shared" si="2"/>
        <v>0.36274999999999996</v>
      </c>
      <c r="M17" s="79">
        <f t="shared" si="6"/>
        <v>2.4582645386167679</v>
      </c>
      <c r="N17" s="28"/>
    </row>
    <row r="18" spans="1:14" x14ac:dyDescent="0.25">
      <c r="A18" s="41" t="s">
        <v>24</v>
      </c>
      <c r="B18" s="46">
        <v>0</v>
      </c>
      <c r="C18" s="24">
        <v>0</v>
      </c>
      <c r="D18" s="24">
        <v>0</v>
      </c>
      <c r="E18" s="22">
        <f t="shared" si="3"/>
        <v>0</v>
      </c>
      <c r="F18" s="60">
        <f t="shared" si="0"/>
        <v>0</v>
      </c>
      <c r="G18" s="67"/>
      <c r="H18" s="78">
        <f t="shared" si="4"/>
        <v>0</v>
      </c>
      <c r="I18" s="22">
        <v>100</v>
      </c>
      <c r="J18" s="45">
        <f t="shared" si="5"/>
        <v>1.6666666666666666E-2</v>
      </c>
      <c r="K18" s="22">
        <f t="shared" si="1"/>
        <v>335</v>
      </c>
      <c r="L18" s="72"/>
      <c r="M18" s="79"/>
      <c r="N18" s="28"/>
    </row>
    <row r="19" spans="1:14" x14ac:dyDescent="0.25">
      <c r="A19" s="42" t="s">
        <v>16</v>
      </c>
      <c r="B19" s="46">
        <v>532.4</v>
      </c>
      <c r="C19" s="21"/>
      <c r="D19" s="21"/>
      <c r="E19" s="22"/>
      <c r="F19" s="60"/>
      <c r="G19" s="67"/>
      <c r="H19" s="78">
        <f t="shared" si="4"/>
        <v>0</v>
      </c>
      <c r="I19" s="22"/>
      <c r="J19" s="45"/>
      <c r="K19" s="22"/>
      <c r="L19" s="72"/>
      <c r="M19" s="79"/>
      <c r="N19" s="28"/>
    </row>
    <row r="20" spans="1:14" ht="15.75" thickBot="1" x14ac:dyDescent="0.3">
      <c r="A20" s="43" t="s">
        <v>28</v>
      </c>
      <c r="B20" s="51">
        <v>432.2</v>
      </c>
      <c r="C20" s="52"/>
      <c r="D20" s="52"/>
      <c r="E20" s="34"/>
      <c r="F20" s="61"/>
      <c r="G20" s="68"/>
      <c r="H20" s="33"/>
      <c r="I20" s="34"/>
      <c r="J20" s="53"/>
      <c r="K20" s="34"/>
      <c r="L20" s="35"/>
      <c r="M20" s="36"/>
      <c r="N20" s="28"/>
    </row>
    <row r="21" spans="1:14" s="26" customFormat="1" ht="15.75" thickBot="1" x14ac:dyDescent="0.3">
      <c r="A21" s="44" t="s">
        <v>17</v>
      </c>
      <c r="B21" s="37">
        <f>SUM(B11:B20)</f>
        <v>5120.2</v>
      </c>
      <c r="C21" s="38">
        <f>SUM(C11:C20)</f>
        <v>532.5</v>
      </c>
      <c r="D21" s="38">
        <f>SUM(D11:D20)</f>
        <v>432.2</v>
      </c>
      <c r="E21" s="38">
        <f>SUM(E11:E19)</f>
        <v>5120.2999999999993</v>
      </c>
      <c r="F21" s="62">
        <f>SUM(F11:F19)</f>
        <v>1.0000195304870902</v>
      </c>
      <c r="G21" s="32">
        <f>SUM(G11:G20)</f>
        <v>11988.03</v>
      </c>
      <c r="H21" s="37">
        <f>SUM(H11:H20)</f>
        <v>6000.1171829225423</v>
      </c>
      <c r="I21" s="38">
        <f>SUM(I11:I20)</f>
        <v>6000</v>
      </c>
      <c r="J21" s="54">
        <f>SUM(J11:J19)</f>
        <v>0.99999999999999989</v>
      </c>
      <c r="K21" s="38">
        <f>SUM(K11:K20)</f>
        <v>20100</v>
      </c>
      <c r="L21" s="54">
        <f>+(G21-I21)/I21</f>
        <v>0.99800500000000014</v>
      </c>
      <c r="M21" s="39">
        <f>+K21/G21</f>
        <v>1.6766724807995974</v>
      </c>
      <c r="N21" s="28"/>
    </row>
    <row r="23" spans="1:14" x14ac:dyDescent="0.25">
      <c r="A23" s="27"/>
    </row>
    <row r="24" spans="1:14" x14ac:dyDescent="0.25">
      <c r="A24" t="s">
        <v>18</v>
      </c>
    </row>
    <row r="48" spans="1:1" x14ac:dyDescent="0.25">
      <c r="A48" t="s">
        <v>21</v>
      </c>
    </row>
    <row r="71" spans="1:1" x14ac:dyDescent="0.25">
      <c r="A71" t="s">
        <v>29</v>
      </c>
    </row>
    <row r="95" spans="1:1" x14ac:dyDescent="0.25">
      <c r="A95" t="s">
        <v>31</v>
      </c>
    </row>
    <row r="119" spans="1:1" x14ac:dyDescent="0.25">
      <c r="A119" t="s">
        <v>32</v>
      </c>
    </row>
    <row r="142" spans="1:1" x14ac:dyDescent="0.25">
      <c r="A142" t="s">
        <v>22</v>
      </c>
    </row>
    <row r="165" spans="1:1" x14ac:dyDescent="0.25">
      <c r="A165" t="s">
        <v>19</v>
      </c>
    </row>
    <row r="188" spans="1:1" x14ac:dyDescent="0.25">
      <c r="A188" t="s">
        <v>33</v>
      </c>
    </row>
  </sheetData>
  <mergeCells count="4">
    <mergeCell ref="A1:M1"/>
    <mergeCell ref="A9:A10"/>
    <mergeCell ref="B8:F8"/>
    <mergeCell ref="H8:M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D7" sqref="D7:D14"/>
    </sheetView>
  </sheetViews>
  <sheetFormatPr defaultRowHeight="15" x14ac:dyDescent="0.25"/>
  <cols>
    <col min="1" max="1" width="28.7109375" customWidth="1"/>
    <col min="2" max="5" width="9.85546875" customWidth="1"/>
  </cols>
  <sheetData>
    <row r="3" spans="1:5" x14ac:dyDescent="0.25">
      <c r="A3" s="81" t="s">
        <v>46</v>
      </c>
      <c r="B3" s="81"/>
      <c r="C3" s="82">
        <v>3.5</v>
      </c>
      <c r="D3" s="82"/>
      <c r="E3" s="82">
        <v>2.8714285714285714</v>
      </c>
    </row>
    <row r="4" spans="1:5" ht="15.75" thickBot="1" x14ac:dyDescent="0.3"/>
    <row r="5" spans="1:5" x14ac:dyDescent="0.25">
      <c r="B5" s="195" t="s">
        <v>42</v>
      </c>
      <c r="C5" s="196"/>
      <c r="D5" s="195" t="s">
        <v>43</v>
      </c>
      <c r="E5" s="196"/>
    </row>
    <row r="6" spans="1:5" ht="15.75" thickBot="1" x14ac:dyDescent="0.3">
      <c r="B6" s="96" t="s">
        <v>12</v>
      </c>
      <c r="C6" s="97" t="s">
        <v>14</v>
      </c>
      <c r="D6" s="96" t="s">
        <v>12</v>
      </c>
      <c r="E6" s="97" t="s">
        <v>14</v>
      </c>
    </row>
    <row r="7" spans="1:5" x14ac:dyDescent="0.25">
      <c r="A7" s="30" t="s">
        <v>25</v>
      </c>
      <c r="B7" s="88">
        <v>1590</v>
      </c>
      <c r="C7" s="89">
        <v>5326.5</v>
      </c>
      <c r="D7" s="90">
        <f>+B7/$B$15*7000</f>
        <v>1855</v>
      </c>
      <c r="E7" s="89">
        <f t="shared" ref="E7:E14" si="0">+D7*$E$3</f>
        <v>5326.5</v>
      </c>
    </row>
    <row r="8" spans="1:5" x14ac:dyDescent="0.25">
      <c r="A8" s="31" t="s">
        <v>21</v>
      </c>
      <c r="B8" s="85">
        <v>1970</v>
      </c>
      <c r="C8" s="86">
        <v>6599.5</v>
      </c>
      <c r="D8" s="87">
        <f t="shared" ref="D8:D14" si="1">+B8/$B$15*7000</f>
        <v>2298.333333333333</v>
      </c>
      <c r="E8" s="86">
        <f t="shared" si="0"/>
        <v>6599.4999999999991</v>
      </c>
    </row>
    <row r="9" spans="1:5" x14ac:dyDescent="0.25">
      <c r="A9" s="31" t="s">
        <v>23</v>
      </c>
      <c r="B9" s="85">
        <v>900</v>
      </c>
      <c r="C9" s="86">
        <v>3015</v>
      </c>
      <c r="D9" s="87">
        <f t="shared" si="1"/>
        <v>1050</v>
      </c>
      <c r="E9" s="86">
        <f t="shared" si="0"/>
        <v>3015</v>
      </c>
    </row>
    <row r="10" spans="1:5" x14ac:dyDescent="0.25">
      <c r="A10" s="31" t="s">
        <v>26</v>
      </c>
      <c r="B10" s="85">
        <v>680</v>
      </c>
      <c r="C10" s="86">
        <v>2278</v>
      </c>
      <c r="D10" s="87">
        <f t="shared" si="1"/>
        <v>793.33333333333326</v>
      </c>
      <c r="E10" s="86">
        <f t="shared" si="0"/>
        <v>2278</v>
      </c>
    </row>
    <row r="11" spans="1:5" x14ac:dyDescent="0.25">
      <c r="A11" s="31" t="s">
        <v>22</v>
      </c>
      <c r="B11" s="85">
        <v>460</v>
      </c>
      <c r="C11" s="86">
        <v>1541</v>
      </c>
      <c r="D11" s="87">
        <f t="shared" si="1"/>
        <v>536.66666666666663</v>
      </c>
      <c r="E11" s="86">
        <f t="shared" si="0"/>
        <v>1541</v>
      </c>
    </row>
    <row r="12" spans="1:5" x14ac:dyDescent="0.25">
      <c r="A12" s="31" t="s">
        <v>19</v>
      </c>
      <c r="B12" s="85">
        <v>220</v>
      </c>
      <c r="C12" s="86">
        <v>737</v>
      </c>
      <c r="D12" s="87">
        <f t="shared" si="1"/>
        <v>256.66666666666669</v>
      </c>
      <c r="E12" s="86">
        <f t="shared" si="0"/>
        <v>737.00000000000011</v>
      </c>
    </row>
    <row r="13" spans="1:5" x14ac:dyDescent="0.25">
      <c r="A13" s="31" t="s">
        <v>20</v>
      </c>
      <c r="B13" s="85">
        <v>80</v>
      </c>
      <c r="C13" s="86">
        <v>268</v>
      </c>
      <c r="D13" s="87">
        <f t="shared" si="1"/>
        <v>93.333333333333343</v>
      </c>
      <c r="E13" s="86">
        <f t="shared" si="0"/>
        <v>268</v>
      </c>
    </row>
    <row r="14" spans="1:5" ht="15.75" thickBot="1" x14ac:dyDescent="0.3">
      <c r="A14" s="98" t="s">
        <v>24</v>
      </c>
      <c r="B14" s="33">
        <v>100</v>
      </c>
      <c r="C14" s="99">
        <v>335</v>
      </c>
      <c r="D14" s="100">
        <f t="shared" si="1"/>
        <v>116.66666666666667</v>
      </c>
      <c r="E14" s="99">
        <f t="shared" si="0"/>
        <v>335</v>
      </c>
    </row>
    <row r="15" spans="1:5" ht="15.75" thickBot="1" x14ac:dyDescent="0.3">
      <c r="A15" s="91" t="s">
        <v>44</v>
      </c>
      <c r="B15" s="92">
        <f>SUM(B7:B14)</f>
        <v>6000</v>
      </c>
      <c r="C15" s="93">
        <f>SUM(C7:C14)</f>
        <v>20100</v>
      </c>
      <c r="D15" s="92">
        <f>SUM(D7:D14)</f>
        <v>7000</v>
      </c>
      <c r="E15" s="101">
        <f>SUM(E7:E14)</f>
        <v>20100</v>
      </c>
    </row>
  </sheetData>
  <mergeCells count="2"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8" workbookViewId="0">
      <selection activeCell="H12" sqref="H12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</cols>
  <sheetData>
    <row r="1" spans="1:12" ht="18.75" x14ac:dyDescent="0.3">
      <c r="A1" s="190" t="s">
        <v>57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4" spans="1:12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</row>
    <row r="5" spans="1:12" x14ac:dyDescent="0.25">
      <c r="A5" s="1" t="s">
        <v>1</v>
      </c>
      <c r="B5" s="6">
        <v>7000</v>
      </c>
      <c r="F5" s="29"/>
      <c r="G5" s="29"/>
      <c r="H5" s="29"/>
      <c r="J5" s="3"/>
      <c r="K5" s="3"/>
    </row>
    <row r="6" spans="1:12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</row>
    <row r="7" spans="1:12" x14ac:dyDescent="0.25">
      <c r="A7" s="1" t="s">
        <v>2</v>
      </c>
      <c r="B7" s="6">
        <v>20100</v>
      </c>
      <c r="F7" s="29"/>
      <c r="G7" s="29"/>
      <c r="H7" s="29"/>
      <c r="J7" s="3"/>
      <c r="K7" s="3"/>
    </row>
    <row r="8" spans="1:12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.75" thickBot="1" x14ac:dyDescent="0.3">
      <c r="A9" s="9"/>
      <c r="B9" s="193" t="s">
        <v>3</v>
      </c>
      <c r="C9" s="194"/>
      <c r="D9" s="194"/>
      <c r="E9" s="194"/>
      <c r="F9" s="194"/>
      <c r="G9" s="63" t="s">
        <v>34</v>
      </c>
      <c r="H9" s="185" t="s">
        <v>53</v>
      </c>
      <c r="I9" s="186"/>
      <c r="J9" s="186"/>
      <c r="K9" s="187"/>
    </row>
    <row r="10" spans="1:12" ht="45" x14ac:dyDescent="0.25">
      <c r="A10" s="191" t="s">
        <v>5</v>
      </c>
      <c r="B10" s="9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94" t="s">
        <v>51</v>
      </c>
      <c r="I10" s="49" t="s">
        <v>38</v>
      </c>
      <c r="J10" s="49" t="s">
        <v>40</v>
      </c>
      <c r="K10" s="95" t="s">
        <v>9</v>
      </c>
    </row>
    <row r="11" spans="1:12" ht="15.75" thickBot="1" x14ac:dyDescent="0.3">
      <c r="A11" s="192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129" t="s">
        <v>14</v>
      </c>
    </row>
    <row r="12" spans="1:12" x14ac:dyDescent="0.25">
      <c r="A12" s="40" t="s">
        <v>25</v>
      </c>
      <c r="B12" s="111">
        <v>720.6</v>
      </c>
      <c r="C12" s="112">
        <v>148.19999999999999</v>
      </c>
      <c r="D12" s="112">
        <v>139.5</v>
      </c>
      <c r="E12" s="17">
        <f>+B12+C12+D12</f>
        <v>1008.3</v>
      </c>
      <c r="F12" s="59">
        <f>+E12/$E$22</f>
        <v>0.20010319712635694</v>
      </c>
      <c r="G12" s="18"/>
      <c r="H12" s="19">
        <f>+F12*$B$5</f>
        <v>1400.7223798844987</v>
      </c>
      <c r="I12" s="117">
        <v>1855</v>
      </c>
      <c r="J12" s="107">
        <f>+I12/$I$22</f>
        <v>0.26500000000000001</v>
      </c>
      <c r="K12" s="130">
        <f>+I12*$B$4</f>
        <v>5326.5</v>
      </c>
      <c r="L12" s="28"/>
    </row>
    <row r="13" spans="1:12" x14ac:dyDescent="0.25">
      <c r="A13" s="41" t="s">
        <v>21</v>
      </c>
      <c r="B13" s="113">
        <v>1797.6</v>
      </c>
      <c r="C13" s="114">
        <v>289.89999999999998</v>
      </c>
      <c r="D13" s="114">
        <v>136.69999999999999</v>
      </c>
      <c r="E13" s="22">
        <f t="shared" ref="E13:E19" si="0">+B13+C13+D13</f>
        <v>2224.1999999999998</v>
      </c>
      <c r="F13" s="59">
        <f t="shared" ref="F13:F19" si="1">+E13/$E$22</f>
        <v>0.44140586239060114</v>
      </c>
      <c r="G13" s="23"/>
      <c r="H13" s="78">
        <f>+F13*$B$5</f>
        <v>3089.841036734208</v>
      </c>
      <c r="I13" s="118">
        <v>2298.333333333333</v>
      </c>
      <c r="J13" s="45">
        <f t="shared" ref="J13:J19" si="2">+I13/$I$22</f>
        <v>0.32833333333333331</v>
      </c>
      <c r="K13" s="131">
        <f t="shared" ref="K13:K19" si="3">+I13*$B$4</f>
        <v>6599.4999999999991</v>
      </c>
      <c r="L13" s="28"/>
    </row>
    <row r="14" spans="1:12" x14ac:dyDescent="0.25">
      <c r="A14" s="41" t="s">
        <v>23</v>
      </c>
      <c r="B14" s="113">
        <v>585.70000000000005</v>
      </c>
      <c r="C14" s="114">
        <v>67.3</v>
      </c>
      <c r="D14" s="114">
        <v>44.2</v>
      </c>
      <c r="E14" s="22">
        <f t="shared" si="0"/>
        <v>697.2</v>
      </c>
      <c r="F14" s="59">
        <f t="shared" si="1"/>
        <v>0.13836353172319357</v>
      </c>
      <c r="G14" s="23"/>
      <c r="H14" s="78">
        <f t="shared" ref="H14:H20" si="4">+F14*$B$5</f>
        <v>968.54472206235505</v>
      </c>
      <c r="I14" s="118">
        <v>1050</v>
      </c>
      <c r="J14" s="45">
        <f t="shared" si="2"/>
        <v>0.15</v>
      </c>
      <c r="K14" s="131">
        <f t="shared" si="3"/>
        <v>3015</v>
      </c>
      <c r="L14" s="28"/>
    </row>
    <row r="15" spans="1:12" x14ac:dyDescent="0.25">
      <c r="A15" s="41" t="s">
        <v>26</v>
      </c>
      <c r="B15" s="113">
        <v>630.20000000000005</v>
      </c>
      <c r="C15" s="114">
        <v>75.599999999999994</v>
      </c>
      <c r="D15" s="114">
        <v>70.400000000000006</v>
      </c>
      <c r="E15" s="22">
        <f t="shared" si="0"/>
        <v>776.2</v>
      </c>
      <c r="F15" s="59">
        <f t="shared" si="1"/>
        <v>0.15404155668895991</v>
      </c>
      <c r="G15" s="23"/>
      <c r="H15" s="78">
        <f t="shared" si="4"/>
        <v>1078.2908968227193</v>
      </c>
      <c r="I15" s="118">
        <v>793.33333333333326</v>
      </c>
      <c r="J15" s="45">
        <f t="shared" si="2"/>
        <v>0.11333333333333333</v>
      </c>
      <c r="K15" s="131">
        <f t="shared" si="3"/>
        <v>2278</v>
      </c>
      <c r="L15" s="28"/>
    </row>
    <row r="16" spans="1:12" x14ac:dyDescent="0.25">
      <c r="A16" s="41" t="s">
        <v>22</v>
      </c>
      <c r="B16" s="113">
        <v>240.3</v>
      </c>
      <c r="C16" s="114">
        <v>44.4</v>
      </c>
      <c r="D16" s="114">
        <v>24.9</v>
      </c>
      <c r="E16" s="22">
        <f t="shared" si="0"/>
        <v>309.59999999999997</v>
      </c>
      <c r="F16" s="59">
        <f t="shared" si="1"/>
        <v>6.1441981384826053E-2</v>
      </c>
      <c r="G16" s="23"/>
      <c r="H16" s="78">
        <f t="shared" si="4"/>
        <v>430.09386969378238</v>
      </c>
      <c r="I16" s="118">
        <v>536.66666666666663</v>
      </c>
      <c r="J16" s="45">
        <f t="shared" si="2"/>
        <v>7.6666666666666661E-2</v>
      </c>
      <c r="K16" s="131">
        <f t="shared" si="3"/>
        <v>1541</v>
      </c>
      <c r="L16" s="28"/>
    </row>
    <row r="17" spans="1:12" x14ac:dyDescent="0.25">
      <c r="A17" s="41" t="s">
        <v>19</v>
      </c>
      <c r="B17" s="113">
        <v>18.100000000000001</v>
      </c>
      <c r="C17" s="114">
        <v>1.5</v>
      </c>
      <c r="D17" s="114">
        <v>1.8</v>
      </c>
      <c r="E17" s="22">
        <f t="shared" si="0"/>
        <v>21.400000000000002</v>
      </c>
      <c r="F17" s="59">
        <f t="shared" si="1"/>
        <v>4.2469586616126539E-3</v>
      </c>
      <c r="G17" s="23"/>
      <c r="H17" s="78">
        <f t="shared" si="4"/>
        <v>29.728710631288578</v>
      </c>
      <c r="I17" s="118">
        <v>256.66666666666669</v>
      </c>
      <c r="J17" s="45">
        <f t="shared" si="2"/>
        <v>3.6666666666666667E-2</v>
      </c>
      <c r="K17" s="131">
        <f t="shared" si="3"/>
        <v>737.00000000000011</v>
      </c>
      <c r="L17" s="28"/>
    </row>
    <row r="18" spans="1:12" x14ac:dyDescent="0.25">
      <c r="A18" s="41" t="s">
        <v>20</v>
      </c>
      <c r="B18" s="113"/>
      <c r="C18" s="114">
        <v>2</v>
      </c>
      <c r="D18" s="114">
        <v>0</v>
      </c>
      <c r="E18" s="22">
        <f t="shared" si="0"/>
        <v>2</v>
      </c>
      <c r="F18" s="59">
        <f t="shared" si="1"/>
        <v>3.9691202444978071E-4</v>
      </c>
      <c r="G18" s="23"/>
      <c r="H18" s="78">
        <f t="shared" si="4"/>
        <v>2.7783841711484651</v>
      </c>
      <c r="I18" s="118">
        <v>93.333333333333343</v>
      </c>
      <c r="J18" s="45">
        <f t="shared" si="2"/>
        <v>1.3333333333333334E-2</v>
      </c>
      <c r="K18" s="131">
        <f t="shared" si="3"/>
        <v>268</v>
      </c>
      <c r="L18" s="28"/>
    </row>
    <row r="19" spans="1:12" x14ac:dyDescent="0.25">
      <c r="A19" s="41" t="s">
        <v>24</v>
      </c>
      <c r="B19" s="113"/>
      <c r="C19" s="114"/>
      <c r="D19" s="114"/>
      <c r="E19" s="22">
        <f t="shared" si="0"/>
        <v>0</v>
      </c>
      <c r="F19" s="59">
        <f t="shared" si="1"/>
        <v>0</v>
      </c>
      <c r="G19" s="23"/>
      <c r="H19" s="78">
        <f>+F19*$B$5</f>
        <v>0</v>
      </c>
      <c r="I19" s="118">
        <v>116.66666666666667</v>
      </c>
      <c r="J19" s="45">
        <f t="shared" si="2"/>
        <v>1.6666666666666666E-2</v>
      </c>
      <c r="K19" s="131">
        <f t="shared" si="3"/>
        <v>335</v>
      </c>
      <c r="L19" s="28"/>
    </row>
    <row r="20" spans="1:12" x14ac:dyDescent="0.25">
      <c r="A20" s="42" t="s">
        <v>16</v>
      </c>
      <c r="B20" s="113">
        <v>629</v>
      </c>
      <c r="C20" s="114"/>
      <c r="D20" s="114"/>
      <c r="E20" s="22"/>
      <c r="F20" s="60"/>
      <c r="G20" s="23"/>
      <c r="H20" s="78">
        <f t="shared" si="4"/>
        <v>0</v>
      </c>
      <c r="I20" s="21"/>
      <c r="J20" s="45"/>
      <c r="K20" s="131"/>
      <c r="L20" s="28"/>
    </row>
    <row r="21" spans="1:12" ht="15.75" thickBot="1" x14ac:dyDescent="0.3">
      <c r="A21" s="43" t="s">
        <v>28</v>
      </c>
      <c r="B21" s="115">
        <v>417.5</v>
      </c>
      <c r="C21" s="116"/>
      <c r="D21" s="116"/>
      <c r="E21" s="34"/>
      <c r="F21" s="61"/>
      <c r="G21" s="120"/>
      <c r="H21" s="108"/>
      <c r="I21" s="119"/>
      <c r="J21" s="109"/>
      <c r="K21" s="132"/>
      <c r="L21" s="28"/>
    </row>
    <row r="22" spans="1:12" ht="15.75" thickBot="1" x14ac:dyDescent="0.3">
      <c r="A22" s="44" t="s">
        <v>17</v>
      </c>
      <c r="B22" s="37">
        <f>SUM(B12:B21)</f>
        <v>5039</v>
      </c>
      <c r="C22" s="38">
        <f>SUM(C12:C21)</f>
        <v>628.9</v>
      </c>
      <c r="D22" s="38">
        <f>SUM(D12:D21)</f>
        <v>417.49999999999994</v>
      </c>
      <c r="E22" s="38">
        <f>SUM(E12:E20)</f>
        <v>5038.8999999999996</v>
      </c>
      <c r="F22" s="62">
        <f>SUM(F12:F20)</f>
        <v>1</v>
      </c>
      <c r="G22" s="106"/>
      <c r="H22" s="104">
        <f>SUM(H12:H21)</f>
        <v>7000.0000000000009</v>
      </c>
      <c r="I22" s="25">
        <f>SUM(I12:I21)</f>
        <v>7000</v>
      </c>
      <c r="J22" s="102">
        <f>SUM(J12:J20)</f>
        <v>0.99999999999999989</v>
      </c>
      <c r="K22" s="124">
        <f>SUM(K12:K21)</f>
        <v>20100</v>
      </c>
    </row>
    <row r="23" spans="1:12" ht="15" customHeight="1" x14ac:dyDescent="0.25"/>
  </sheetData>
  <mergeCells count="4">
    <mergeCell ref="A1:K1"/>
    <mergeCell ref="B9:F9"/>
    <mergeCell ref="H9:K9"/>
    <mergeCell ref="A10:A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workbookViewId="0">
      <selection activeCell="O16" sqref="O16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</cols>
  <sheetData>
    <row r="1" spans="1:12" ht="18.75" x14ac:dyDescent="0.3">
      <c r="A1" s="190" t="s">
        <v>55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4" spans="1:12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</row>
    <row r="5" spans="1:12" x14ac:dyDescent="0.25">
      <c r="A5" s="1" t="s">
        <v>1</v>
      </c>
      <c r="B5" s="6">
        <v>7000</v>
      </c>
      <c r="F5" s="29"/>
      <c r="G5" s="29"/>
      <c r="H5" s="29"/>
      <c r="J5" s="3"/>
      <c r="K5" s="3"/>
    </row>
    <row r="6" spans="1:12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</row>
    <row r="7" spans="1:12" x14ac:dyDescent="0.25">
      <c r="A7" s="1" t="s">
        <v>2</v>
      </c>
      <c r="B7" s="6">
        <v>20100</v>
      </c>
      <c r="F7" s="29"/>
      <c r="G7" s="29"/>
      <c r="H7" s="29"/>
      <c r="J7" s="3"/>
      <c r="K7" s="3"/>
    </row>
    <row r="8" spans="1:12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.75" thickBot="1" x14ac:dyDescent="0.3">
      <c r="A9" s="9"/>
      <c r="B9" s="193" t="s">
        <v>3</v>
      </c>
      <c r="C9" s="194"/>
      <c r="D9" s="194"/>
      <c r="E9" s="194"/>
      <c r="F9" s="194"/>
      <c r="G9" s="63" t="s">
        <v>34</v>
      </c>
      <c r="H9" s="185" t="s">
        <v>53</v>
      </c>
      <c r="I9" s="186"/>
      <c r="J9" s="186"/>
      <c r="K9" s="187"/>
    </row>
    <row r="10" spans="1:12" ht="45" x14ac:dyDescent="0.25">
      <c r="A10" s="191" t="s">
        <v>5</v>
      </c>
      <c r="B10" s="9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94" t="s">
        <v>51</v>
      </c>
      <c r="I10" s="49" t="s">
        <v>38</v>
      </c>
      <c r="J10" s="49" t="s">
        <v>40</v>
      </c>
      <c r="K10" s="95" t="s">
        <v>9</v>
      </c>
    </row>
    <row r="11" spans="1:12" ht="15.75" thickBot="1" x14ac:dyDescent="0.3">
      <c r="A11" s="192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129" t="s">
        <v>14</v>
      </c>
    </row>
    <row r="12" spans="1:12" x14ac:dyDescent="0.25">
      <c r="A12" s="40" t="s">
        <v>25</v>
      </c>
      <c r="B12" s="111">
        <v>809.2</v>
      </c>
      <c r="C12" s="112">
        <v>152.19999999999999</v>
      </c>
      <c r="D12" s="112">
        <v>145.1</v>
      </c>
      <c r="E12" s="17">
        <f>+B12+C12+D12</f>
        <v>1106.5</v>
      </c>
      <c r="F12" s="59">
        <f>+E12/$E$22</f>
        <v>0.196323699011728</v>
      </c>
      <c r="G12" s="18"/>
      <c r="H12" s="19">
        <f>+F12*$B$5</f>
        <v>1374.265893082096</v>
      </c>
      <c r="I12" s="117">
        <v>1855</v>
      </c>
      <c r="J12" s="107">
        <f>+I12/$I$22</f>
        <v>0.26500000000000001</v>
      </c>
      <c r="K12" s="130">
        <f>+I12*$B$4</f>
        <v>5326.5</v>
      </c>
      <c r="L12" s="28"/>
    </row>
    <row r="13" spans="1:12" x14ac:dyDescent="0.25">
      <c r="A13" s="41" t="s">
        <v>21</v>
      </c>
      <c r="B13" s="113">
        <v>2072.9</v>
      </c>
      <c r="C13" s="114">
        <v>325.3</v>
      </c>
      <c r="D13" s="114">
        <v>143.69999999999999</v>
      </c>
      <c r="E13" s="22">
        <f t="shared" ref="E13:E19" si="0">+B13+C13+D13</f>
        <v>2541.9</v>
      </c>
      <c r="F13" s="59">
        <f t="shared" ref="F13:F19" si="1">+E13/$E$22</f>
        <v>0.45100335338265829</v>
      </c>
      <c r="G13" s="23"/>
      <c r="H13" s="78">
        <f>+F13*$B$5</f>
        <v>3157.0234736786078</v>
      </c>
      <c r="I13" s="118">
        <v>2298.333333333333</v>
      </c>
      <c r="J13" s="45">
        <f t="shared" ref="J13:J19" si="2">+I13/$I$22</f>
        <v>0.32833333333333331</v>
      </c>
      <c r="K13" s="131">
        <f t="shared" ref="K13:K19" si="3">+I13*$B$4</f>
        <v>6599.4999999999991</v>
      </c>
      <c r="L13" s="28"/>
    </row>
    <row r="14" spans="1:12" x14ac:dyDescent="0.25">
      <c r="A14" s="41" t="s">
        <v>23</v>
      </c>
      <c r="B14" s="113">
        <v>635.20000000000005</v>
      </c>
      <c r="C14" s="114">
        <v>74.400000000000006</v>
      </c>
      <c r="D14" s="114">
        <v>46</v>
      </c>
      <c r="E14" s="22">
        <f t="shared" si="0"/>
        <v>755.6</v>
      </c>
      <c r="F14" s="59">
        <f t="shared" si="1"/>
        <v>0.13406433526729478</v>
      </c>
      <c r="G14" s="23"/>
      <c r="H14" s="78">
        <f t="shared" ref="H14:H20" si="4">+F14*$B$5</f>
        <v>938.4503468710634</v>
      </c>
      <c r="I14" s="118">
        <v>1050</v>
      </c>
      <c r="J14" s="45">
        <f t="shared" si="2"/>
        <v>0.15</v>
      </c>
      <c r="K14" s="131">
        <f t="shared" si="3"/>
        <v>3015</v>
      </c>
      <c r="L14" s="28"/>
    </row>
    <row r="15" spans="1:12" x14ac:dyDescent="0.25">
      <c r="A15" s="41" t="s">
        <v>26</v>
      </c>
      <c r="B15" s="113">
        <v>698.7</v>
      </c>
      <c r="C15" s="114">
        <v>82.8</v>
      </c>
      <c r="D15" s="114">
        <v>84.4</v>
      </c>
      <c r="E15" s="22">
        <f t="shared" si="0"/>
        <v>865.9</v>
      </c>
      <c r="F15" s="59">
        <f t="shared" si="1"/>
        <v>0.15363460548961161</v>
      </c>
      <c r="G15" s="23"/>
      <c r="H15" s="78">
        <f t="shared" si="4"/>
        <v>1075.4422384272812</v>
      </c>
      <c r="I15" s="118">
        <v>793.33333333333326</v>
      </c>
      <c r="J15" s="45">
        <f t="shared" si="2"/>
        <v>0.11333333333333333</v>
      </c>
      <c r="K15" s="131">
        <f t="shared" si="3"/>
        <v>2278</v>
      </c>
      <c r="L15" s="28"/>
    </row>
    <row r="16" spans="1:12" x14ac:dyDescent="0.25">
      <c r="A16" s="41" t="s">
        <v>22</v>
      </c>
      <c r="B16" s="113">
        <v>275.7</v>
      </c>
      <c r="C16" s="114">
        <v>48.4</v>
      </c>
      <c r="D16" s="114">
        <v>25.2</v>
      </c>
      <c r="E16" s="22">
        <f t="shared" si="0"/>
        <v>349.29999999999995</v>
      </c>
      <c r="F16" s="59">
        <f t="shared" si="1"/>
        <v>6.1975479498234592E-2</v>
      </c>
      <c r="G16" s="23"/>
      <c r="H16" s="78">
        <f t="shared" si="4"/>
        <v>433.82835648764217</v>
      </c>
      <c r="I16" s="118">
        <v>536.66666666666663</v>
      </c>
      <c r="J16" s="45">
        <f t="shared" si="2"/>
        <v>7.6666666666666661E-2</v>
      </c>
      <c r="K16" s="131">
        <f t="shared" si="3"/>
        <v>1541</v>
      </c>
      <c r="L16" s="28"/>
    </row>
    <row r="17" spans="1:12" x14ac:dyDescent="0.25">
      <c r="A17" s="41" t="s">
        <v>19</v>
      </c>
      <c r="B17" s="113">
        <v>7.5</v>
      </c>
      <c r="C17" s="114">
        <v>0.7</v>
      </c>
      <c r="D17" s="114">
        <v>1.5</v>
      </c>
      <c r="E17" s="22">
        <f t="shared" si="0"/>
        <v>9.6999999999999993</v>
      </c>
      <c r="F17" s="59">
        <f t="shared" si="1"/>
        <v>1.7210482425790885E-3</v>
      </c>
      <c r="G17" s="23"/>
      <c r="H17" s="78">
        <f t="shared" si="4"/>
        <v>12.047337698053619</v>
      </c>
      <c r="I17" s="118">
        <v>256.66666666666669</v>
      </c>
      <c r="J17" s="45">
        <f t="shared" si="2"/>
        <v>3.6666666666666667E-2</v>
      </c>
      <c r="K17" s="131">
        <f t="shared" si="3"/>
        <v>737.00000000000011</v>
      </c>
      <c r="L17" s="28"/>
    </row>
    <row r="18" spans="1:12" x14ac:dyDescent="0.25">
      <c r="A18" s="41" t="s">
        <v>20</v>
      </c>
      <c r="B18" s="113">
        <v>4.9000000000000004</v>
      </c>
      <c r="C18" s="114">
        <v>2.2999999999999998</v>
      </c>
      <c r="D18" s="114">
        <v>0</v>
      </c>
      <c r="E18" s="22">
        <f t="shared" si="0"/>
        <v>7.2</v>
      </c>
      <c r="F18" s="59">
        <f t="shared" si="1"/>
        <v>1.2774791078937564E-3</v>
      </c>
      <c r="G18" s="23"/>
      <c r="H18" s="78">
        <f t="shared" si="4"/>
        <v>8.9423537552562955</v>
      </c>
      <c r="I18" s="118">
        <v>93.333333333333343</v>
      </c>
      <c r="J18" s="45">
        <f t="shared" si="2"/>
        <v>1.3333333333333334E-2</v>
      </c>
      <c r="K18" s="131">
        <f t="shared" si="3"/>
        <v>268</v>
      </c>
      <c r="L18" s="28"/>
    </row>
    <row r="19" spans="1:12" x14ac:dyDescent="0.25">
      <c r="A19" s="41" t="s">
        <v>24</v>
      </c>
      <c r="B19" s="113"/>
      <c r="C19" s="114"/>
      <c r="D19" s="114"/>
      <c r="E19" s="22">
        <f t="shared" si="0"/>
        <v>0</v>
      </c>
      <c r="F19" s="59">
        <f t="shared" si="1"/>
        <v>0</v>
      </c>
      <c r="G19" s="23"/>
      <c r="H19" s="78">
        <f>+F19*$B$5</f>
        <v>0</v>
      </c>
      <c r="I19" s="118">
        <v>116.66666666666667</v>
      </c>
      <c r="J19" s="45">
        <f t="shared" si="2"/>
        <v>1.6666666666666666E-2</v>
      </c>
      <c r="K19" s="131">
        <f t="shared" si="3"/>
        <v>335</v>
      </c>
      <c r="L19" s="28"/>
    </row>
    <row r="20" spans="1:12" x14ac:dyDescent="0.25">
      <c r="A20" s="42" t="s">
        <v>16</v>
      </c>
      <c r="B20" s="113">
        <v>686</v>
      </c>
      <c r="C20" s="114"/>
      <c r="D20" s="114"/>
      <c r="E20" s="22"/>
      <c r="F20" s="60"/>
      <c r="G20" s="23"/>
      <c r="H20" s="78">
        <f t="shared" si="4"/>
        <v>0</v>
      </c>
      <c r="I20" s="21"/>
      <c r="J20" s="45"/>
      <c r="K20" s="131"/>
      <c r="L20" s="28"/>
    </row>
    <row r="21" spans="1:12" ht="15.75" thickBot="1" x14ac:dyDescent="0.3">
      <c r="A21" s="43" t="s">
        <v>28</v>
      </c>
      <c r="B21" s="115">
        <v>445.9</v>
      </c>
      <c r="C21" s="116"/>
      <c r="D21" s="116"/>
      <c r="E21" s="34"/>
      <c r="F21" s="61"/>
      <c r="G21" s="120"/>
      <c r="H21" s="108"/>
      <c r="I21" s="119"/>
      <c r="J21" s="109"/>
      <c r="K21" s="132"/>
    </row>
    <row r="22" spans="1:12" ht="15.75" thickBot="1" x14ac:dyDescent="0.3">
      <c r="A22" s="44" t="s">
        <v>17</v>
      </c>
      <c r="B22" s="37">
        <f>SUM(B12:B21)</f>
        <v>5635.9999999999991</v>
      </c>
      <c r="C22" s="38">
        <f>SUM(C12:C21)</f>
        <v>686.09999999999991</v>
      </c>
      <c r="D22" s="38">
        <f>SUM(D12:D21)</f>
        <v>445.89999999999992</v>
      </c>
      <c r="E22" s="38">
        <f>SUM(E12:E20)</f>
        <v>5636.0999999999995</v>
      </c>
      <c r="F22" s="62">
        <f>SUM(F12:F20)</f>
        <v>1</v>
      </c>
      <c r="G22" s="106"/>
      <c r="H22" s="133">
        <f>SUM(H12:H21)</f>
        <v>7000.0000000000009</v>
      </c>
      <c r="I22" s="25">
        <f>SUM(I12:I21)</f>
        <v>7000</v>
      </c>
      <c r="J22" s="102">
        <f>SUM(J12:J20)</f>
        <v>0.99999999999999989</v>
      </c>
      <c r="K22" s="134">
        <f>SUM(K12:K21)</f>
        <v>20100</v>
      </c>
    </row>
    <row r="23" spans="1:12" ht="15" customHeight="1" x14ac:dyDescent="0.25"/>
  </sheetData>
  <mergeCells count="4">
    <mergeCell ref="A1:K1"/>
    <mergeCell ref="B9:F9"/>
    <mergeCell ref="H9:K9"/>
    <mergeCell ref="A10:A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opLeftCell="A13" workbookViewId="0">
      <selection activeCell="F10" sqref="F10:F22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</cols>
  <sheetData>
    <row r="1" spans="1:13" ht="18.75" x14ac:dyDescent="0.3">
      <c r="A1" s="190" t="s">
        <v>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4" spans="1:13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  <c r="M4" s="4"/>
    </row>
    <row r="5" spans="1:13" x14ac:dyDescent="0.25">
      <c r="A5" s="1" t="s">
        <v>1</v>
      </c>
      <c r="B5" s="6">
        <v>7000</v>
      </c>
      <c r="F5" s="29"/>
      <c r="G5" s="29"/>
      <c r="H5" s="29"/>
      <c r="J5" s="3"/>
      <c r="K5" s="3"/>
      <c r="M5" s="4"/>
    </row>
    <row r="6" spans="1:13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  <c r="M6" s="4"/>
    </row>
    <row r="7" spans="1:13" x14ac:dyDescent="0.25">
      <c r="A7" s="1" t="s">
        <v>2</v>
      </c>
      <c r="B7" s="6">
        <v>20100</v>
      </c>
      <c r="F7" s="29"/>
      <c r="G7" s="29"/>
      <c r="H7" s="29"/>
      <c r="J7" s="3"/>
      <c r="K7" s="3"/>
      <c r="L7" s="7"/>
      <c r="M7" s="4"/>
    </row>
    <row r="8" spans="1:13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.75" thickBot="1" x14ac:dyDescent="0.3">
      <c r="A9" s="9"/>
      <c r="B9" s="193" t="s">
        <v>3</v>
      </c>
      <c r="C9" s="194"/>
      <c r="D9" s="194"/>
      <c r="E9" s="194"/>
      <c r="F9" s="194"/>
      <c r="G9" s="63" t="s">
        <v>34</v>
      </c>
      <c r="H9" s="185" t="s">
        <v>53</v>
      </c>
      <c r="I9" s="186"/>
      <c r="J9" s="186"/>
      <c r="K9" s="186"/>
      <c r="L9" s="186"/>
      <c r="M9" s="187"/>
    </row>
    <row r="10" spans="1:13" ht="45" x14ac:dyDescent="0.25">
      <c r="A10" s="191" t="s">
        <v>5</v>
      </c>
      <c r="B10" s="8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84" t="s">
        <v>51</v>
      </c>
      <c r="I10" s="49" t="s">
        <v>38</v>
      </c>
      <c r="J10" s="49" t="s">
        <v>40</v>
      </c>
      <c r="K10" s="57" t="s">
        <v>9</v>
      </c>
      <c r="L10" s="84" t="s">
        <v>35</v>
      </c>
      <c r="M10" s="50" t="s">
        <v>10</v>
      </c>
    </row>
    <row r="11" spans="1:13" ht="15.75" thickBot="1" x14ac:dyDescent="0.3">
      <c r="A11" s="192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58" t="s">
        <v>14</v>
      </c>
      <c r="L11" s="11" t="s">
        <v>13</v>
      </c>
      <c r="M11" s="14" t="s">
        <v>15</v>
      </c>
    </row>
    <row r="12" spans="1:13" x14ac:dyDescent="0.25">
      <c r="A12" s="40" t="s">
        <v>25</v>
      </c>
      <c r="B12" s="111">
        <v>759.2</v>
      </c>
      <c r="C12" s="112">
        <v>163.4</v>
      </c>
      <c r="D12" s="112">
        <v>151.19999999999999</v>
      </c>
      <c r="E12" s="17">
        <f>+B12+C12+D12</f>
        <v>1073.8</v>
      </c>
      <c r="F12" s="59">
        <f>+E12/$E$22</f>
        <v>0.19527896995708152</v>
      </c>
      <c r="G12" s="18">
        <v>3070</v>
      </c>
      <c r="H12" s="19">
        <f>+F12*$B$5</f>
        <v>1366.9527896995708</v>
      </c>
      <c r="I12" s="117">
        <v>1855</v>
      </c>
      <c r="J12" s="107">
        <f>+I12/$I$22</f>
        <v>0.26500000000000001</v>
      </c>
      <c r="K12" s="121">
        <f>+I12*$B$4</f>
        <v>5326.5</v>
      </c>
      <c r="L12" s="125">
        <f t="shared" ref="L12:L18" si="0">+(G12-H12)/H12</f>
        <v>1.2458712715855573</v>
      </c>
      <c r="M12" s="20">
        <f t="shared" ref="M12:M18" si="1">+K12/G12</f>
        <v>1.7350162866449512</v>
      </c>
    </row>
    <row r="13" spans="1:13" x14ac:dyDescent="0.25">
      <c r="A13" s="41" t="s">
        <v>21</v>
      </c>
      <c r="B13" s="113">
        <v>2107.8000000000002</v>
      </c>
      <c r="C13" s="114">
        <v>349.2</v>
      </c>
      <c r="D13" s="114">
        <v>151.6</v>
      </c>
      <c r="E13" s="22">
        <f t="shared" ref="E13:E19" si="2">+B13+C13+D13</f>
        <v>2608.6</v>
      </c>
      <c r="F13" s="59">
        <f t="shared" ref="F13:F19" si="3">+E13/$E$22</f>
        <v>0.47439441332654392</v>
      </c>
      <c r="G13" s="23">
        <v>5070</v>
      </c>
      <c r="H13" s="78">
        <f>+F13*$B$5</f>
        <v>3320.7608932858075</v>
      </c>
      <c r="I13" s="118">
        <v>2298.333333333333</v>
      </c>
      <c r="J13" s="45">
        <f t="shared" ref="J13:J19" si="4">+I13/$I$22</f>
        <v>0.32833333333333331</v>
      </c>
      <c r="K13" s="122">
        <f t="shared" ref="K13:K19" si="5">+I13*$B$4</f>
        <v>6599.4999999999991</v>
      </c>
      <c r="L13" s="126">
        <f t="shared" si="0"/>
        <v>0.52675852400302314</v>
      </c>
      <c r="M13" s="79">
        <f t="shared" si="1"/>
        <v>1.3016765285996053</v>
      </c>
    </row>
    <row r="14" spans="1:13" x14ac:dyDescent="0.25">
      <c r="A14" s="41" t="s">
        <v>23</v>
      </c>
      <c r="B14" s="113">
        <v>549.9</v>
      </c>
      <c r="C14" s="114">
        <v>71.2</v>
      </c>
      <c r="D14" s="114">
        <v>42.8</v>
      </c>
      <c r="E14" s="22">
        <f t="shared" si="2"/>
        <v>663.9</v>
      </c>
      <c r="F14" s="59">
        <f t="shared" si="3"/>
        <v>0.12073543318542226</v>
      </c>
      <c r="G14" s="23">
        <v>1380</v>
      </c>
      <c r="H14" s="78">
        <f t="shared" ref="H14:H20" si="6">+F14*$B$5</f>
        <v>845.14803229795587</v>
      </c>
      <c r="I14" s="118">
        <v>1050</v>
      </c>
      <c r="J14" s="45">
        <f t="shared" si="4"/>
        <v>0.15</v>
      </c>
      <c r="K14" s="122">
        <f t="shared" si="5"/>
        <v>3015</v>
      </c>
      <c r="L14" s="126">
        <f t="shared" si="0"/>
        <v>0.63285004195984773</v>
      </c>
      <c r="M14" s="79">
        <f t="shared" si="1"/>
        <v>2.1847826086956523</v>
      </c>
    </row>
    <row r="15" spans="1:13" x14ac:dyDescent="0.25">
      <c r="A15" s="41" t="s">
        <v>26</v>
      </c>
      <c r="B15" s="113">
        <v>650.70000000000005</v>
      </c>
      <c r="C15" s="114">
        <v>88.1</v>
      </c>
      <c r="D15" s="114">
        <v>88.3</v>
      </c>
      <c r="E15" s="22">
        <f t="shared" si="2"/>
        <v>827.1</v>
      </c>
      <c r="F15" s="59">
        <f t="shared" si="3"/>
        <v>0.15041463592056448</v>
      </c>
      <c r="G15" s="23">
        <v>2010</v>
      </c>
      <c r="H15" s="78">
        <f t="shared" si="6"/>
        <v>1052.9024514439513</v>
      </c>
      <c r="I15" s="118">
        <v>793.33333333333326</v>
      </c>
      <c r="J15" s="45">
        <f t="shared" si="4"/>
        <v>0.11333333333333333</v>
      </c>
      <c r="K15" s="122">
        <f t="shared" si="5"/>
        <v>2278</v>
      </c>
      <c r="L15" s="126">
        <f t="shared" si="0"/>
        <v>0.90900875693041105</v>
      </c>
      <c r="M15" s="79">
        <f t="shared" si="1"/>
        <v>1.1333333333333333</v>
      </c>
    </row>
    <row r="16" spans="1:13" x14ac:dyDescent="0.25">
      <c r="A16" s="41" t="s">
        <v>22</v>
      </c>
      <c r="B16" s="113">
        <v>225.6</v>
      </c>
      <c r="C16" s="114">
        <v>53.4</v>
      </c>
      <c r="D16" s="114">
        <v>22.1</v>
      </c>
      <c r="E16" s="22">
        <f t="shared" si="2"/>
        <v>301.10000000000002</v>
      </c>
      <c r="F16" s="59">
        <f t="shared" si="3"/>
        <v>5.4757401614897797E-2</v>
      </c>
      <c r="G16" s="23">
        <v>627.58000000000004</v>
      </c>
      <c r="H16" s="78">
        <f t="shared" si="6"/>
        <v>383.30181130428457</v>
      </c>
      <c r="I16" s="118">
        <v>536.66666666666663</v>
      </c>
      <c r="J16" s="45">
        <f t="shared" si="4"/>
        <v>7.6666666666666661E-2</v>
      </c>
      <c r="K16" s="122">
        <f t="shared" si="5"/>
        <v>1541</v>
      </c>
      <c r="L16" s="126">
        <f t="shared" si="0"/>
        <v>0.63729985481804818</v>
      </c>
      <c r="M16" s="79">
        <f t="shared" si="1"/>
        <v>2.4554638452468209</v>
      </c>
    </row>
    <row r="17" spans="1:13" x14ac:dyDescent="0.25">
      <c r="A17" s="41" t="s">
        <v>19</v>
      </c>
      <c r="B17" s="113">
        <v>12</v>
      </c>
      <c r="C17" s="114">
        <v>1.2</v>
      </c>
      <c r="D17" s="114">
        <v>1.6</v>
      </c>
      <c r="E17" s="22">
        <f t="shared" si="2"/>
        <v>14.799999999999999</v>
      </c>
      <c r="F17" s="59">
        <f t="shared" si="3"/>
        <v>2.6914963264712296E-3</v>
      </c>
      <c r="G17" s="23">
        <v>176.14</v>
      </c>
      <c r="H17" s="78">
        <f t="shared" si="6"/>
        <v>18.840474285298608</v>
      </c>
      <c r="I17" s="118">
        <v>256.66666666666669</v>
      </c>
      <c r="J17" s="45">
        <f t="shared" si="4"/>
        <v>3.6666666666666667E-2</v>
      </c>
      <c r="K17" s="122">
        <f t="shared" si="5"/>
        <v>737.00000000000011</v>
      </c>
      <c r="L17" s="126">
        <f t="shared" si="0"/>
        <v>8.3490215444015448</v>
      </c>
      <c r="M17" s="79">
        <f t="shared" si="1"/>
        <v>4.1841716816168963</v>
      </c>
    </row>
    <row r="18" spans="1:13" x14ac:dyDescent="0.25">
      <c r="A18" s="41" t="s">
        <v>20</v>
      </c>
      <c r="B18" s="113">
        <v>7.1</v>
      </c>
      <c r="C18" s="114">
        <v>2.4</v>
      </c>
      <c r="D18" s="114">
        <v>0</v>
      </c>
      <c r="E18" s="22">
        <f t="shared" si="2"/>
        <v>9.5</v>
      </c>
      <c r="F18" s="59">
        <f t="shared" si="3"/>
        <v>1.727649669018695E-3</v>
      </c>
      <c r="G18" s="23">
        <v>155.58000000000001</v>
      </c>
      <c r="H18" s="78">
        <f t="shared" si="6"/>
        <v>12.093547683130865</v>
      </c>
      <c r="I18" s="118">
        <v>93.333333333333343</v>
      </c>
      <c r="J18" s="45">
        <f t="shared" si="4"/>
        <v>1.3333333333333334E-2</v>
      </c>
      <c r="K18" s="122">
        <f t="shared" si="5"/>
        <v>268</v>
      </c>
      <c r="L18" s="126">
        <f t="shared" si="0"/>
        <v>11.864711338345865</v>
      </c>
      <c r="M18" s="79">
        <f t="shared" si="1"/>
        <v>1.7225864507006041</v>
      </c>
    </row>
    <row r="19" spans="1:13" x14ac:dyDescent="0.25">
      <c r="A19" s="41" t="s">
        <v>24</v>
      </c>
      <c r="B19" s="113"/>
      <c r="C19" s="114"/>
      <c r="D19" s="114"/>
      <c r="E19" s="22">
        <f t="shared" si="2"/>
        <v>0</v>
      </c>
      <c r="F19" s="59">
        <f t="shared" si="3"/>
        <v>0</v>
      </c>
      <c r="G19" s="23">
        <v>0</v>
      </c>
      <c r="H19" s="78">
        <f>+F19*$B$5</f>
        <v>0</v>
      </c>
      <c r="I19" s="118">
        <v>116.66666666666667</v>
      </c>
      <c r="J19" s="45">
        <f t="shared" si="4"/>
        <v>1.6666666666666666E-2</v>
      </c>
      <c r="K19" s="122">
        <f t="shared" si="5"/>
        <v>335</v>
      </c>
      <c r="L19" s="126"/>
      <c r="M19" s="79"/>
    </row>
    <row r="20" spans="1:13" x14ac:dyDescent="0.25">
      <c r="A20" s="42" t="s">
        <v>16</v>
      </c>
      <c r="B20" s="113">
        <v>729</v>
      </c>
      <c r="C20" s="114"/>
      <c r="D20" s="114"/>
      <c r="E20" s="22"/>
      <c r="F20" s="60"/>
      <c r="G20" s="23"/>
      <c r="H20" s="78">
        <f t="shared" si="6"/>
        <v>0</v>
      </c>
      <c r="I20" s="21"/>
      <c r="J20" s="45"/>
      <c r="K20" s="122"/>
      <c r="L20" s="126"/>
      <c r="M20" s="79"/>
    </row>
    <row r="21" spans="1:13" ht="15.75" thickBot="1" x14ac:dyDescent="0.3">
      <c r="A21" s="43" t="s">
        <v>28</v>
      </c>
      <c r="B21" s="115">
        <v>457.7</v>
      </c>
      <c r="C21" s="116"/>
      <c r="D21" s="116"/>
      <c r="E21" s="34"/>
      <c r="F21" s="61"/>
      <c r="G21" s="120"/>
      <c r="H21" s="108"/>
      <c r="I21" s="119"/>
      <c r="J21" s="109"/>
      <c r="K21" s="123"/>
      <c r="L21" s="127"/>
      <c r="M21" s="110"/>
    </row>
    <row r="22" spans="1:13" ht="15.75" thickBot="1" x14ac:dyDescent="0.3">
      <c r="A22" s="44" t="s">
        <v>17</v>
      </c>
      <c r="B22" s="37">
        <f>SUM(B12:B21)</f>
        <v>5499.0000000000009</v>
      </c>
      <c r="C22" s="38">
        <f>SUM(C12:C21)</f>
        <v>728.90000000000009</v>
      </c>
      <c r="D22" s="38">
        <f>SUM(D12:D21)</f>
        <v>457.6</v>
      </c>
      <c r="E22" s="38">
        <f>SUM(E12:E20)</f>
        <v>5498.8</v>
      </c>
      <c r="F22" s="62">
        <f>SUM(F12:F20)</f>
        <v>1</v>
      </c>
      <c r="G22" s="106">
        <f>SUM(G12:G21)</f>
        <v>12489.3</v>
      </c>
      <c r="H22" s="104">
        <f>SUM(H12:H21)</f>
        <v>7000</v>
      </c>
      <c r="I22" s="25">
        <f>SUM(I12:I21)</f>
        <v>7000</v>
      </c>
      <c r="J22" s="102">
        <f>SUM(J12:J20)</f>
        <v>0.99999999999999989</v>
      </c>
      <c r="K22" s="124">
        <f>SUM(K12:K21)</f>
        <v>20100</v>
      </c>
      <c r="L22" s="128">
        <f>+(G22-I22)/I22</f>
        <v>0.78418571428571415</v>
      </c>
      <c r="M22" s="103">
        <f>+K22/G22</f>
        <v>1.6093776272489251</v>
      </c>
    </row>
    <row r="23" spans="1:13" ht="15" customHeight="1" x14ac:dyDescent="0.25">
      <c r="L23" s="197" t="s">
        <v>54</v>
      </c>
      <c r="M23" s="197"/>
    </row>
    <row r="24" spans="1:13" x14ac:dyDescent="0.25">
      <c r="L24" s="198"/>
      <c r="M24" s="198"/>
    </row>
    <row r="25" spans="1:13" x14ac:dyDescent="0.25">
      <c r="A25" t="s">
        <v>49</v>
      </c>
      <c r="L25" s="198"/>
      <c r="M25" s="198"/>
    </row>
    <row r="48" spans="1:1" x14ac:dyDescent="0.25">
      <c r="A48" t="s">
        <v>50</v>
      </c>
    </row>
    <row r="73" spans="1:1" x14ac:dyDescent="0.25">
      <c r="A73" t="s">
        <v>29</v>
      </c>
    </row>
    <row r="96" spans="1:1" x14ac:dyDescent="0.25">
      <c r="A96" t="s">
        <v>21</v>
      </c>
    </row>
    <row r="119" spans="1:1" x14ac:dyDescent="0.25">
      <c r="A119" t="s">
        <v>31</v>
      </c>
    </row>
    <row r="142" spans="1:1" x14ac:dyDescent="0.25">
      <c r="A142" t="s">
        <v>26</v>
      </c>
    </row>
    <row r="165" spans="1:1" x14ac:dyDescent="0.25">
      <c r="A165" t="s">
        <v>22</v>
      </c>
    </row>
    <row r="189" spans="1:1" x14ac:dyDescent="0.25">
      <c r="A189" t="s">
        <v>19</v>
      </c>
    </row>
    <row r="212" spans="1:1" x14ac:dyDescent="0.25">
      <c r="A212" t="s">
        <v>33</v>
      </c>
    </row>
  </sheetData>
  <mergeCells count="5">
    <mergeCell ref="B9:F9"/>
    <mergeCell ref="H9:M9"/>
    <mergeCell ref="A10:A11"/>
    <mergeCell ref="L23:M25"/>
    <mergeCell ref="A1:M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B1" zoomScaleNormal="100" workbookViewId="0">
      <selection activeCell="U4" sqref="U4"/>
    </sheetView>
  </sheetViews>
  <sheetFormatPr defaultRowHeight="15" x14ac:dyDescent="0.25"/>
  <cols>
    <col min="1" max="1" width="28.28515625" bestFit="1" customWidth="1"/>
    <col min="2" max="2" width="8" bestFit="1" customWidth="1"/>
    <col min="3" max="6" width="7.85546875" bestFit="1" customWidth="1"/>
    <col min="7" max="7" width="8.85546875" bestFit="1" customWidth="1"/>
    <col min="8" max="8" width="10.85546875" bestFit="1" customWidth="1"/>
    <col min="9" max="9" width="10" bestFit="1" customWidth="1"/>
    <col min="10" max="10" width="7.42578125" bestFit="1" customWidth="1"/>
    <col min="11" max="11" width="10.85546875" bestFit="1" customWidth="1"/>
    <col min="12" max="12" width="10" bestFit="1" customWidth="1"/>
    <col min="13" max="13" width="8" bestFit="1" customWidth="1"/>
    <col min="14" max="14" width="10.85546875" bestFit="1" customWidth="1"/>
    <col min="15" max="15" width="10" bestFit="1" customWidth="1"/>
    <col min="16" max="16" width="8" bestFit="1" customWidth="1"/>
    <col min="17" max="17" width="10.85546875" bestFit="1" customWidth="1"/>
    <col min="18" max="18" width="10" bestFit="1" customWidth="1"/>
    <col min="19" max="19" width="8" bestFit="1" customWidth="1"/>
    <col min="21" max="21" width="11.5703125" bestFit="1" customWidth="1"/>
  </cols>
  <sheetData>
    <row r="1" spans="1:22" ht="19.5" thickBot="1" x14ac:dyDescent="0.35">
      <c r="A1" s="179" t="s">
        <v>58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1"/>
    </row>
    <row r="3" spans="1:22" x14ac:dyDescent="0.25">
      <c r="A3" s="1" t="s">
        <v>0</v>
      </c>
      <c r="B3" s="2">
        <f>+B6/B4</f>
        <v>2.8714285714285714</v>
      </c>
      <c r="F3" s="29"/>
      <c r="G3" s="29"/>
      <c r="H3" s="29"/>
      <c r="I3" s="29"/>
      <c r="J3" s="29"/>
      <c r="L3" s="3"/>
      <c r="M3" s="3"/>
      <c r="O3" s="2">
        <f>+B6/O4</f>
        <v>2.2333333333333334</v>
      </c>
    </row>
    <row r="4" spans="1:22" x14ac:dyDescent="0.25">
      <c r="A4" s="1" t="s">
        <v>1</v>
      </c>
      <c r="B4" s="6">
        <v>7000</v>
      </c>
      <c r="F4" s="29"/>
      <c r="G4" s="29"/>
      <c r="H4" s="29"/>
      <c r="I4" s="29"/>
      <c r="J4" s="29"/>
      <c r="L4" s="3"/>
      <c r="M4" s="3"/>
      <c r="O4" s="6">
        <v>9000</v>
      </c>
    </row>
    <row r="5" spans="1:22" x14ac:dyDescent="0.25">
      <c r="A5" s="1" t="s">
        <v>52</v>
      </c>
      <c r="B5" s="6">
        <f>5820+989.35</f>
        <v>6809.35</v>
      </c>
      <c r="F5" s="29"/>
      <c r="G5" s="29"/>
      <c r="H5" s="29"/>
      <c r="I5" s="29"/>
      <c r="J5" s="29"/>
      <c r="L5" s="3"/>
      <c r="M5" s="3"/>
      <c r="O5" s="114"/>
    </row>
    <row r="6" spans="1:22" x14ac:dyDescent="0.25">
      <c r="A6" s="1" t="s">
        <v>2</v>
      </c>
      <c r="B6" s="6">
        <v>20100</v>
      </c>
      <c r="F6" s="29"/>
      <c r="G6" s="29"/>
      <c r="H6" s="29"/>
      <c r="I6" s="29"/>
      <c r="J6" s="29"/>
      <c r="L6" s="3"/>
      <c r="M6" s="3"/>
      <c r="O6" s="6">
        <f>+B6</f>
        <v>20100</v>
      </c>
    </row>
    <row r="7" spans="1:22" ht="15.75" thickBot="1" x14ac:dyDescent="0.3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2" ht="15.75" thickBot="1" x14ac:dyDescent="0.3">
      <c r="A8" s="8"/>
      <c r="B8" s="199" t="s">
        <v>70</v>
      </c>
      <c r="C8" s="200"/>
      <c r="D8" s="200"/>
      <c r="E8" s="200"/>
      <c r="F8" s="200"/>
      <c r="G8" s="200"/>
      <c r="H8" s="200"/>
      <c r="I8" s="200"/>
      <c r="J8" s="201"/>
      <c r="K8" s="202" t="s">
        <v>60</v>
      </c>
      <c r="L8" s="203"/>
      <c r="M8" s="204"/>
      <c r="N8" s="205" t="s">
        <v>66</v>
      </c>
      <c r="O8" s="206"/>
      <c r="P8" s="207"/>
      <c r="Q8" s="205" t="s">
        <v>67</v>
      </c>
      <c r="R8" s="206"/>
      <c r="S8" s="207"/>
    </row>
    <row r="9" spans="1:22" x14ac:dyDescent="0.25">
      <c r="A9" s="208" t="s">
        <v>5</v>
      </c>
      <c r="B9" s="164">
        <v>43983</v>
      </c>
      <c r="C9" s="165">
        <v>44013</v>
      </c>
      <c r="D9" s="165">
        <v>44166</v>
      </c>
      <c r="E9" s="165">
        <v>44197</v>
      </c>
      <c r="F9" s="165">
        <v>44228</v>
      </c>
      <c r="G9" s="165" t="s">
        <v>65</v>
      </c>
      <c r="H9" s="175" t="s">
        <v>63</v>
      </c>
      <c r="I9" s="210" t="s">
        <v>64</v>
      </c>
      <c r="J9" s="211" t="s">
        <v>62</v>
      </c>
      <c r="K9" s="176" t="s">
        <v>63</v>
      </c>
      <c r="L9" s="210" t="s">
        <v>64</v>
      </c>
      <c r="M9" s="211" t="s">
        <v>62</v>
      </c>
      <c r="N9" s="176" t="s">
        <v>61</v>
      </c>
      <c r="O9" s="210" t="s">
        <v>64</v>
      </c>
      <c r="P9" s="211" t="s">
        <v>62</v>
      </c>
      <c r="Q9" s="176" t="s">
        <v>61</v>
      </c>
      <c r="R9" s="210" t="s">
        <v>64</v>
      </c>
      <c r="S9" s="211" t="s">
        <v>62</v>
      </c>
    </row>
    <row r="10" spans="1:22" ht="15.75" thickBot="1" x14ac:dyDescent="0.3">
      <c r="A10" s="209"/>
      <c r="B10" s="11" t="s">
        <v>59</v>
      </c>
      <c r="C10" s="12" t="s">
        <v>59</v>
      </c>
      <c r="D10" s="12" t="s">
        <v>59</v>
      </c>
      <c r="E10" s="12" t="s">
        <v>59</v>
      </c>
      <c r="F10" s="12" t="s">
        <v>59</v>
      </c>
      <c r="G10" s="12" t="s">
        <v>59</v>
      </c>
      <c r="H10" s="12" t="s">
        <v>13</v>
      </c>
      <c r="I10" s="212" t="s">
        <v>48</v>
      </c>
      <c r="J10" s="213" t="s">
        <v>14</v>
      </c>
      <c r="K10" s="11" t="s">
        <v>13</v>
      </c>
      <c r="L10" s="212" t="s">
        <v>48</v>
      </c>
      <c r="M10" s="213" t="s">
        <v>14</v>
      </c>
      <c r="N10" s="11" t="s">
        <v>13</v>
      </c>
      <c r="O10" s="212" t="s">
        <v>48</v>
      </c>
      <c r="P10" s="213" t="s">
        <v>14</v>
      </c>
      <c r="Q10" s="11" t="s">
        <v>13</v>
      </c>
      <c r="R10" s="212" t="s">
        <v>48</v>
      </c>
      <c r="S10" s="213" t="s">
        <v>14</v>
      </c>
    </row>
    <row r="11" spans="1:22" x14ac:dyDescent="0.25">
      <c r="A11" s="160" t="s">
        <v>25</v>
      </c>
      <c r="B11" s="161">
        <f>+'Jun 20'!E10</f>
        <v>1510.4999999999998</v>
      </c>
      <c r="C11" s="162">
        <f>+'Jul 20'!E11</f>
        <v>1675.1</v>
      </c>
      <c r="D11" s="162">
        <f>+'Dic 20'!E12</f>
        <v>1008.3</v>
      </c>
      <c r="E11" s="162">
        <f>+'Ene 21'!E12</f>
        <v>1106.5</v>
      </c>
      <c r="F11" s="162">
        <f>+'Feb 21'!E12</f>
        <v>1073.8</v>
      </c>
      <c r="G11" s="162">
        <f>+(F11+E11+D11)/3</f>
        <v>1062.8666666666668</v>
      </c>
      <c r="H11" s="163">
        <f>+G11/$G$19</f>
        <v>0.19714600155807543</v>
      </c>
      <c r="I11" s="214">
        <f>+H11*$B$4</f>
        <v>1380.0220109065281</v>
      </c>
      <c r="J11" s="215">
        <f>+I11*$B$3</f>
        <v>3962.6346313173162</v>
      </c>
      <c r="K11" s="166">
        <f t="shared" ref="K11:K18" si="0">+L11/$L$19</f>
        <v>0.26500000000000001</v>
      </c>
      <c r="L11" s="214">
        <v>1855</v>
      </c>
      <c r="M11" s="215">
        <f>+L11*$B$3</f>
        <v>5326.5</v>
      </c>
      <c r="N11" s="168">
        <f>+O11/$O$4</f>
        <v>0.18692371188222931</v>
      </c>
      <c r="O11" s="220">
        <f>+G11/($G$11+$G$12+$G$13)*($O$4-$O$14-$O$15-$O$16-$O$17-$O$18)</f>
        <v>1682.3134069400637</v>
      </c>
      <c r="P11" s="215">
        <f>+O11*$O$3</f>
        <v>3757.1666088328093</v>
      </c>
      <c r="Q11" s="230">
        <f>+R11/$O$4</f>
        <v>0.17910148028236128</v>
      </c>
      <c r="R11" s="177">
        <f>+G11/($G$11+$G$12)*($O$4-$R$13-$R$14-$R$15-$R$16-$R$17-$R$18)</f>
        <v>1611.9133225412515</v>
      </c>
      <c r="S11" s="215">
        <f>+R11*$O$3</f>
        <v>3599.9397536754618</v>
      </c>
      <c r="U11" s="233"/>
    </row>
    <row r="12" spans="1:22" x14ac:dyDescent="0.25">
      <c r="A12" s="41" t="s">
        <v>21</v>
      </c>
      <c r="B12" s="159">
        <f>+'Jun 20'!E11</f>
        <v>1804.7</v>
      </c>
      <c r="C12" s="158">
        <f>+'Jul 20'!E12</f>
        <v>1972.3</v>
      </c>
      <c r="D12" s="158">
        <f>+'Dic 20'!E13</f>
        <v>2224.1999999999998</v>
      </c>
      <c r="E12" s="158">
        <f>+'Ene 21'!E13</f>
        <v>2541.9</v>
      </c>
      <c r="F12" s="158">
        <f>+'Feb 21'!E13</f>
        <v>2608.6</v>
      </c>
      <c r="G12" s="158">
        <f t="shared" ref="G12:G18" si="1">+(F12+E12+D12)/3</f>
        <v>2458.2333333333331</v>
      </c>
      <c r="H12" s="157">
        <f>+G12/$G$19</f>
        <v>0.45596582126649271</v>
      </c>
      <c r="I12" s="216">
        <f t="shared" ref="I12:I19" si="2">+H12*$B$4</f>
        <v>3191.7607488654489</v>
      </c>
      <c r="J12" s="178">
        <f t="shared" ref="J12:J18" si="3">+I12*$B$3</f>
        <v>9164.9130074565037</v>
      </c>
      <c r="K12" s="167">
        <f t="shared" si="0"/>
        <v>0.32833333333333331</v>
      </c>
      <c r="L12" s="216">
        <v>2298.333333333333</v>
      </c>
      <c r="M12" s="178">
        <f t="shared" ref="M12:M18" si="4">+L12*$B$3</f>
        <v>6599.4999999999991</v>
      </c>
      <c r="N12" s="169">
        <f t="shared" ref="N12:N18" si="5">+O12/$O$4</f>
        <v>0.43232337013669825</v>
      </c>
      <c r="O12" s="220">
        <f>+G12/($G$11+$G$12+$G$13)*($O$4-$O$14-$O$15-$O$16-$O$17-$O$18)</f>
        <v>3890.9103312302841</v>
      </c>
      <c r="P12" s="178">
        <f t="shared" ref="P12:P18" si="6">+O12*$O$3</f>
        <v>8689.6997397476352</v>
      </c>
      <c r="Q12" s="231">
        <f t="shared" ref="Q12:Q18" si="7">+R12/$O$4</f>
        <v>0.4142318530509721</v>
      </c>
      <c r="R12" s="177">
        <f>+G12/($G$11+$G$12)*($O$4-$R$13-$R$14-$R$15-$R$16-$R$17-$R$18)</f>
        <v>3728.0866774587489</v>
      </c>
      <c r="S12" s="178">
        <f t="shared" ref="S12:S18" si="8">+R12*$O$3</f>
        <v>8326.0602463245395</v>
      </c>
      <c r="U12" s="233"/>
    </row>
    <row r="13" spans="1:22" x14ac:dyDescent="0.25">
      <c r="A13" s="41" t="s">
        <v>23</v>
      </c>
      <c r="B13" s="159">
        <f>+'Jun 20'!E12</f>
        <v>798</v>
      </c>
      <c r="C13" s="158">
        <f>+'Jul 20'!E13</f>
        <v>658.4</v>
      </c>
      <c r="D13" s="158">
        <f>+'Dic 20'!E14</f>
        <v>697.2</v>
      </c>
      <c r="E13" s="158">
        <f>+'Ene 21'!E14</f>
        <v>755.6</v>
      </c>
      <c r="F13" s="158">
        <f>+'Feb 21'!E14</f>
        <v>663.9</v>
      </c>
      <c r="G13" s="158">
        <f t="shared" si="1"/>
        <v>705.56666666666661</v>
      </c>
      <c r="H13" s="157">
        <f>+G13/$G$19</f>
        <v>0.13087215125697116</v>
      </c>
      <c r="I13" s="216">
        <f t="shared" si="2"/>
        <v>916.10505879879815</v>
      </c>
      <c r="J13" s="178">
        <f t="shared" si="3"/>
        <v>2630.5302402651205</v>
      </c>
      <c r="K13" s="167">
        <f t="shared" si="0"/>
        <v>0.15</v>
      </c>
      <c r="L13" s="216">
        <v>1050</v>
      </c>
      <c r="M13" s="178">
        <f t="shared" si="4"/>
        <v>3015</v>
      </c>
      <c r="N13" s="169">
        <f t="shared" si="5"/>
        <v>0.1240862513144059</v>
      </c>
      <c r="O13" s="220">
        <f>+G13/($G$11+$G$12+$G$13)*($O$4-$O$14-$O$15-$O$16-$O$17-$O$18)</f>
        <v>1116.7762618296531</v>
      </c>
      <c r="P13" s="178">
        <f t="shared" si="6"/>
        <v>2494.1336514195586</v>
      </c>
      <c r="Q13" s="231">
        <f t="shared" si="7"/>
        <v>0.15</v>
      </c>
      <c r="R13" s="177">
        <f>+S13/O3</f>
        <v>1350</v>
      </c>
      <c r="S13" s="178">
        <f>+M13</f>
        <v>3015</v>
      </c>
      <c r="U13" s="233"/>
    </row>
    <row r="14" spans="1:22" x14ac:dyDescent="0.25">
      <c r="A14" s="41" t="s">
        <v>26</v>
      </c>
      <c r="B14" s="159">
        <f>+'Jun 20'!E13</f>
        <v>605.9</v>
      </c>
      <c r="C14" s="158">
        <f>+'Jul 20'!E14</f>
        <v>498.4</v>
      </c>
      <c r="D14" s="158">
        <f>+'Dic 20'!E15</f>
        <v>776.2</v>
      </c>
      <c r="E14" s="158">
        <f>+'Ene 21'!E15</f>
        <v>865.9</v>
      </c>
      <c r="F14" s="158">
        <f>+'Feb 21'!E15</f>
        <v>827.1</v>
      </c>
      <c r="G14" s="158">
        <f t="shared" si="1"/>
        <v>823.06666666666661</v>
      </c>
      <c r="H14" s="157">
        <f>+G14/$G$19</f>
        <v>0.15266665842288143</v>
      </c>
      <c r="I14" s="216">
        <f t="shared" si="2"/>
        <v>1068.6666089601702</v>
      </c>
      <c r="J14" s="178">
        <f t="shared" si="3"/>
        <v>3068.5998342999173</v>
      </c>
      <c r="K14" s="167">
        <f t="shared" si="0"/>
        <v>0.11333333333333333</v>
      </c>
      <c r="L14" s="216">
        <v>793.33333333333326</v>
      </c>
      <c r="M14" s="178">
        <f t="shared" si="4"/>
        <v>2278</v>
      </c>
      <c r="N14" s="169">
        <f t="shared" si="5"/>
        <v>0.11333333333333333</v>
      </c>
      <c r="O14" s="220">
        <f>+P14/O3</f>
        <v>1020</v>
      </c>
      <c r="P14" s="178">
        <f>+M14</f>
        <v>2278</v>
      </c>
      <c r="Q14" s="231">
        <f t="shared" si="7"/>
        <v>0.11333333333333333</v>
      </c>
      <c r="R14" s="177">
        <f>+S14/O3</f>
        <v>1020</v>
      </c>
      <c r="S14" s="178">
        <f>+M14</f>
        <v>2278</v>
      </c>
      <c r="U14" s="233"/>
    </row>
    <row r="15" spans="1:22" x14ac:dyDescent="0.25">
      <c r="A15" s="41" t="s">
        <v>22</v>
      </c>
      <c r="B15" s="159">
        <f>+'Jun 20'!E14</f>
        <v>278</v>
      </c>
      <c r="C15" s="158">
        <f>+'Jul 20'!E15</f>
        <v>300.8</v>
      </c>
      <c r="D15" s="158">
        <f>+'Dic 20'!E16</f>
        <v>309.59999999999997</v>
      </c>
      <c r="E15" s="158">
        <f>+'Ene 21'!E16</f>
        <v>349.29999999999995</v>
      </c>
      <c r="F15" s="158">
        <f>+'Feb 21'!E16</f>
        <v>301.10000000000002</v>
      </c>
      <c r="G15" s="158">
        <f t="shared" si="1"/>
        <v>320</v>
      </c>
      <c r="H15" s="157">
        <f>+G15/$G$19</f>
        <v>5.9355253558223797E-2</v>
      </c>
      <c r="I15" s="216">
        <f t="shared" si="2"/>
        <v>415.4867749075666</v>
      </c>
      <c r="J15" s="178">
        <f t="shared" si="3"/>
        <v>1193.0405965202983</v>
      </c>
      <c r="K15" s="167">
        <f t="shared" si="0"/>
        <v>7.6666666666666661E-2</v>
      </c>
      <c r="L15" s="216">
        <v>536.66666666666663</v>
      </c>
      <c r="M15" s="178">
        <f t="shared" si="4"/>
        <v>1541</v>
      </c>
      <c r="N15" s="169">
        <f t="shared" si="5"/>
        <v>7.6666666666666661E-2</v>
      </c>
      <c r="O15" s="177">
        <f>+K15*$O$4</f>
        <v>690</v>
      </c>
      <c r="P15" s="178">
        <f t="shared" si="6"/>
        <v>1541</v>
      </c>
      <c r="Q15" s="231">
        <f t="shared" si="7"/>
        <v>7.6666666666666661E-2</v>
      </c>
      <c r="R15" s="177">
        <f>+K15*$O$4</f>
        <v>690</v>
      </c>
      <c r="S15" s="178">
        <f t="shared" si="8"/>
        <v>1541</v>
      </c>
      <c r="U15" s="233"/>
      <c r="V15" s="7"/>
    </row>
    <row r="16" spans="1:22" x14ac:dyDescent="0.25">
      <c r="A16" s="41" t="s">
        <v>19</v>
      </c>
      <c r="B16" s="159">
        <f>+'Jun 20'!E15</f>
        <v>6.6000000000000005</v>
      </c>
      <c r="C16" s="158">
        <f>+'Jul 20'!E16</f>
        <v>6.6</v>
      </c>
      <c r="D16" s="158">
        <f>+'Dic 20'!E17</f>
        <v>21.400000000000002</v>
      </c>
      <c r="E16" s="158">
        <f>+'Ene 21'!E17</f>
        <v>9.6999999999999993</v>
      </c>
      <c r="F16" s="158">
        <f>+'Feb 21'!E17</f>
        <v>14.799999999999999</v>
      </c>
      <c r="G16" s="158">
        <f t="shared" si="1"/>
        <v>15.300000000000002</v>
      </c>
      <c r="H16" s="157">
        <f>+G16/$G$19</f>
        <v>2.8379230607525757E-3</v>
      </c>
      <c r="I16" s="216">
        <f t="shared" si="2"/>
        <v>19.86546142526803</v>
      </c>
      <c r="J16" s="178">
        <f t="shared" si="3"/>
        <v>57.042253521126774</v>
      </c>
      <c r="K16" s="167">
        <f t="shared" si="0"/>
        <v>3.6666666666666667E-2</v>
      </c>
      <c r="L16" s="216">
        <v>256.66666666666669</v>
      </c>
      <c r="M16" s="178">
        <f t="shared" si="4"/>
        <v>737.00000000000011</v>
      </c>
      <c r="N16" s="169">
        <f t="shared" si="5"/>
        <v>3.6666666666666667E-2</v>
      </c>
      <c r="O16" s="177">
        <f>+K16*$O$4</f>
        <v>330</v>
      </c>
      <c r="P16" s="178">
        <f t="shared" si="6"/>
        <v>737</v>
      </c>
      <c r="Q16" s="231">
        <f t="shared" si="7"/>
        <v>3.6666666666666667E-2</v>
      </c>
      <c r="R16" s="177">
        <f>+K16*$O$4</f>
        <v>330</v>
      </c>
      <c r="S16" s="178">
        <f t="shared" si="8"/>
        <v>737</v>
      </c>
      <c r="U16" s="233">
        <f>+S16-J16</f>
        <v>679.95774647887322</v>
      </c>
      <c r="V16" s="7"/>
    </row>
    <row r="17" spans="1:22" x14ac:dyDescent="0.25">
      <c r="A17" s="41" t="s">
        <v>20</v>
      </c>
      <c r="B17" s="159">
        <f>+'Jun 20'!E16</f>
        <v>6.5</v>
      </c>
      <c r="C17" s="158">
        <f>+'Jul 20'!E17</f>
        <v>8.6999999999999993</v>
      </c>
      <c r="D17" s="158">
        <f>+'Dic 20'!E18</f>
        <v>2</v>
      </c>
      <c r="E17" s="158">
        <f>+'Ene 21'!E18</f>
        <v>7.2</v>
      </c>
      <c r="F17" s="158">
        <f>+'Feb 21'!E18</f>
        <v>9.5</v>
      </c>
      <c r="G17" s="158">
        <f t="shared" si="1"/>
        <v>6.2333333333333334</v>
      </c>
      <c r="H17" s="157">
        <f>+G17/$G$19</f>
        <v>1.156190876602901E-3</v>
      </c>
      <c r="I17" s="216">
        <f t="shared" si="2"/>
        <v>8.0933361362203069</v>
      </c>
      <c r="J17" s="178">
        <f t="shared" si="3"/>
        <v>23.239436619718308</v>
      </c>
      <c r="K17" s="167">
        <f t="shared" si="0"/>
        <v>1.3333333333333334E-2</v>
      </c>
      <c r="L17" s="216">
        <v>93.333333333333343</v>
      </c>
      <c r="M17" s="178">
        <f t="shared" si="4"/>
        <v>268</v>
      </c>
      <c r="N17" s="169">
        <f t="shared" si="5"/>
        <v>1.3333333333333334E-2</v>
      </c>
      <c r="O17" s="177">
        <f>+K17*$O$4</f>
        <v>120.00000000000001</v>
      </c>
      <c r="P17" s="178">
        <f t="shared" si="6"/>
        <v>268.00000000000006</v>
      </c>
      <c r="Q17" s="231">
        <f t="shared" si="7"/>
        <v>1.3333333333333334E-2</v>
      </c>
      <c r="R17" s="177">
        <f>+K17*$O$4</f>
        <v>120.00000000000001</v>
      </c>
      <c r="S17" s="178">
        <f t="shared" si="8"/>
        <v>268.00000000000006</v>
      </c>
      <c r="U17" s="233">
        <f t="shared" ref="U17:U18" si="9">+S17-J17</f>
        <v>244.76056338028175</v>
      </c>
      <c r="V17" s="7"/>
    </row>
    <row r="18" spans="1:22" x14ac:dyDescent="0.25">
      <c r="A18" s="41" t="s">
        <v>24</v>
      </c>
      <c r="B18" s="159">
        <f>+'Jun 20'!E17</f>
        <v>0</v>
      </c>
      <c r="C18" s="158">
        <f>+'Jul 20'!E18</f>
        <v>0</v>
      </c>
      <c r="D18" s="158">
        <f>+'Dic 20'!E19</f>
        <v>0</v>
      </c>
      <c r="E18" s="158">
        <f>+'Ene 21'!E19</f>
        <v>0</v>
      </c>
      <c r="F18" s="158">
        <f>+'Feb 21'!E19</f>
        <v>0</v>
      </c>
      <c r="G18" s="158">
        <f t="shared" si="1"/>
        <v>0</v>
      </c>
      <c r="H18" s="157">
        <f>+G18/$G$19</f>
        <v>0</v>
      </c>
      <c r="I18" s="216">
        <f t="shared" si="2"/>
        <v>0</v>
      </c>
      <c r="J18" s="178">
        <f t="shared" si="3"/>
        <v>0</v>
      </c>
      <c r="K18" s="167">
        <f t="shared" si="0"/>
        <v>1.6666666666666666E-2</v>
      </c>
      <c r="L18" s="216">
        <v>116.66666666666667</v>
      </c>
      <c r="M18" s="178">
        <f t="shared" si="4"/>
        <v>335</v>
      </c>
      <c r="N18" s="169">
        <f t="shared" si="5"/>
        <v>1.6666666666666666E-2</v>
      </c>
      <c r="O18" s="177">
        <f>+K18*$O$4</f>
        <v>150</v>
      </c>
      <c r="P18" s="178">
        <f t="shared" si="6"/>
        <v>335</v>
      </c>
      <c r="Q18" s="231">
        <f t="shared" si="7"/>
        <v>1.6666666666666666E-2</v>
      </c>
      <c r="R18" s="177">
        <f>+K18*$O$4</f>
        <v>150</v>
      </c>
      <c r="S18" s="178">
        <f t="shared" si="8"/>
        <v>335</v>
      </c>
      <c r="U18" s="233">
        <f t="shared" si="9"/>
        <v>335</v>
      </c>
      <c r="V18" s="7"/>
    </row>
    <row r="19" spans="1:22" s="15" customFormat="1" ht="15.75" thickBot="1" x14ac:dyDescent="0.3">
      <c r="A19" s="170" t="s">
        <v>17</v>
      </c>
      <c r="B19" s="171">
        <f>SUM(B11:B18)</f>
        <v>5010.2</v>
      </c>
      <c r="C19" s="172">
        <f>SUM(C11:C18)</f>
        <v>5120.2999999999993</v>
      </c>
      <c r="D19" s="172">
        <f>SUM(D11:D18)</f>
        <v>5038.8999999999996</v>
      </c>
      <c r="E19" s="172">
        <f>SUM(E11:E18)</f>
        <v>5636.0999999999995</v>
      </c>
      <c r="F19" s="172">
        <f>SUM(F11:F18)</f>
        <v>5498.8</v>
      </c>
      <c r="G19" s="172">
        <f>SUM(G11:G18)</f>
        <v>5391.2666666666664</v>
      </c>
      <c r="H19" s="173">
        <f>+G19/$G$19</f>
        <v>1</v>
      </c>
      <c r="I19" s="217">
        <f t="shared" si="2"/>
        <v>7000</v>
      </c>
      <c r="J19" s="218">
        <f>SUM(J11:J18)</f>
        <v>20100.000000000004</v>
      </c>
      <c r="K19" s="174">
        <f>SUM(K11:K18)</f>
        <v>0.99999999999999989</v>
      </c>
      <c r="L19" s="217">
        <f>SUM(L11:L18)</f>
        <v>7000</v>
      </c>
      <c r="M19" s="219">
        <f>SUM(M11:M18)</f>
        <v>20100</v>
      </c>
      <c r="N19" s="174">
        <f>SUM(N11:N18)</f>
        <v>1</v>
      </c>
      <c r="O19" s="217">
        <f>SUM(O11:O18)</f>
        <v>9000</v>
      </c>
      <c r="P19" s="219">
        <f>SUM(P11:P18)</f>
        <v>20100.000000000004</v>
      </c>
      <c r="Q19" s="232">
        <f>SUM(Q11:Q18)</f>
        <v>1</v>
      </c>
      <c r="R19" s="217">
        <f>SUM(R11:R18)</f>
        <v>9000</v>
      </c>
      <c r="S19" s="219">
        <f>SUM(S11:S18)</f>
        <v>20100</v>
      </c>
      <c r="U19" s="233">
        <f>SUM(U16:U18)</f>
        <v>1259.7183098591549</v>
      </c>
      <c r="V19" s="233"/>
    </row>
    <row r="20" spans="1:22" ht="15" customHeight="1" x14ac:dyDescent="0.25">
      <c r="U20" s="234">
        <f>+O6-U19</f>
        <v>18840.281690140844</v>
      </c>
    </row>
    <row r="21" spans="1:22" ht="15" customHeight="1" x14ac:dyDescent="0.25">
      <c r="L21" s="7"/>
      <c r="M21" s="7"/>
      <c r="N21" s="221" t="s">
        <v>68</v>
      </c>
      <c r="O21" s="222"/>
      <c r="P21" s="223"/>
      <c r="Q21" s="221" t="s">
        <v>69</v>
      </c>
      <c r="R21" s="222"/>
      <c r="S21" s="223"/>
      <c r="U21" s="235">
        <f>+U20/(O4-28)</f>
        <v>2.099897647140085</v>
      </c>
    </row>
    <row r="22" spans="1:22" x14ac:dyDescent="0.25">
      <c r="N22" s="224"/>
      <c r="O22" s="225"/>
      <c r="P22" s="226"/>
      <c r="Q22" s="224"/>
      <c r="R22" s="225"/>
      <c r="S22" s="226"/>
    </row>
    <row r="23" spans="1:22" x14ac:dyDescent="0.25">
      <c r="N23" s="227"/>
      <c r="O23" s="228"/>
      <c r="P23" s="229"/>
      <c r="Q23" s="227"/>
      <c r="R23" s="228"/>
      <c r="S23" s="229"/>
    </row>
  </sheetData>
  <mergeCells count="8">
    <mergeCell ref="N21:P23"/>
    <mergeCell ref="Q21:S23"/>
    <mergeCell ref="B8:J8"/>
    <mergeCell ref="K8:M8"/>
    <mergeCell ref="N8:P8"/>
    <mergeCell ref="Q8:S8"/>
    <mergeCell ref="A9:A10"/>
    <mergeCell ref="A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Jun 20</vt:lpstr>
      <vt:lpstr>Jul 20</vt:lpstr>
      <vt:lpstr>Capacidades</vt:lpstr>
      <vt:lpstr>Dic 20</vt:lpstr>
      <vt:lpstr>Ene 21</vt:lpstr>
      <vt:lpstr>Feb 21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dcterms:created xsi:type="dcterms:W3CDTF">2020-07-01T14:50:33Z</dcterms:created>
  <dcterms:modified xsi:type="dcterms:W3CDTF">2021-03-16T18:22:06Z</dcterms:modified>
</cp:coreProperties>
</file>