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opez\ownCloud\My Files\CABASE\NAP NQN\Conexion medidor\"/>
    </mc:Choice>
  </mc:AlternateContent>
  <xr:revisionPtr revIDLastSave="0" documentId="13_ncr:1_{324494FC-8D94-4A64-93AB-C03128567BFE}" xr6:coauthVersionLast="36" xr6:coauthVersionMax="36" xr10:uidLastSave="{00000000-0000-0000-0000-000000000000}"/>
  <bookViews>
    <workbookView xWindow="12135" yWindow="0" windowWidth="17100" windowHeight="6420" activeTab="1" xr2:uid="{431135AB-8619-4EC2-ADB8-57DED7212967}"/>
  </bookViews>
  <sheets>
    <sheet name="Consumo Davitel" sheetId="1" r:id="rId1"/>
    <sheet name="Seguimiento Consumo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2" l="1"/>
  <c r="H31" i="1"/>
  <c r="H33" i="1" s="1"/>
  <c r="H26" i="1"/>
  <c r="H17" i="1"/>
  <c r="H13" i="1"/>
  <c r="Q13" i="1" s="1"/>
  <c r="Q35" i="1"/>
  <c r="Q29" i="1"/>
  <c r="Q25" i="1"/>
  <c r="Q22" i="1"/>
  <c r="Q21" i="1"/>
  <c r="Q16" i="1"/>
  <c r="Q15" i="1"/>
  <c r="Q14" i="1"/>
  <c r="Q33" i="1" l="1"/>
  <c r="Q34" i="1" s="1"/>
  <c r="D16" i="2"/>
  <c r="C16" i="2"/>
  <c r="I11" i="2"/>
  <c r="J11" i="2" s="1"/>
  <c r="E11" i="2"/>
  <c r="Q36" i="1" l="1"/>
  <c r="Q37" i="1" s="1"/>
  <c r="F10" i="2"/>
  <c r="P35" i="1"/>
  <c r="P36" i="1" s="1"/>
  <c r="P37" i="1" s="1"/>
  <c r="P34" i="1"/>
  <c r="P33" i="1"/>
  <c r="P29" i="1"/>
  <c r="P25" i="1"/>
  <c r="P22" i="1"/>
  <c r="P21" i="1"/>
  <c r="O22" i="1"/>
  <c r="O25" i="1"/>
  <c r="P16" i="1"/>
  <c r="P15" i="1"/>
  <c r="P14" i="1"/>
  <c r="P13" i="1"/>
  <c r="G33" i="1"/>
  <c r="G31" i="1"/>
  <c r="G26" i="1"/>
  <c r="G13" i="1"/>
  <c r="G17" i="1"/>
  <c r="K10" i="2" l="1"/>
  <c r="I10" i="2"/>
  <c r="J10" i="2" s="1"/>
  <c r="E10" i="2"/>
  <c r="F16" i="2" l="1"/>
  <c r="K11" i="2"/>
  <c r="F13" i="1"/>
  <c r="O35" i="1"/>
  <c r="O29" i="1"/>
  <c r="O21" i="1"/>
  <c r="O16" i="1"/>
  <c r="O15" i="1"/>
  <c r="O14" i="1"/>
  <c r="F31" i="1"/>
  <c r="F26" i="1"/>
  <c r="F17" i="1"/>
  <c r="F8" i="1"/>
  <c r="O13" i="1" l="1"/>
  <c r="O33" i="1" s="1"/>
  <c r="F33" i="1"/>
  <c r="I8" i="2"/>
  <c r="F8" i="2"/>
  <c r="K8" i="2" s="1"/>
  <c r="E8" i="2"/>
  <c r="I9" i="2"/>
  <c r="E9" i="2"/>
  <c r="O34" i="1" l="1"/>
  <c r="O36" i="1"/>
  <c r="O37" i="1" s="1"/>
  <c r="F9" i="2" s="1"/>
  <c r="K9" i="2" s="1"/>
  <c r="J9" i="2"/>
  <c r="I7" i="2"/>
  <c r="J8" i="2" l="1"/>
  <c r="G9" i="2" l="1"/>
  <c r="G8" i="2"/>
  <c r="E16" i="2"/>
  <c r="I16" i="2" s="1"/>
  <c r="F7" i="2"/>
  <c r="K7" i="2" s="1"/>
  <c r="N36" i="1"/>
  <c r="N37" i="1" s="1"/>
  <c r="N35" i="1"/>
  <c r="N34" i="1"/>
  <c r="N30" i="1"/>
  <c r="N29" i="1"/>
  <c r="N25" i="1"/>
  <c r="N22" i="1"/>
  <c r="N21" i="1"/>
  <c r="N16" i="1"/>
  <c r="N15" i="1"/>
  <c r="N14" i="1"/>
  <c r="N13" i="1"/>
  <c r="N33" i="1" s="1"/>
  <c r="E26" i="1"/>
  <c r="E33" i="1" s="1"/>
  <c r="E31" i="1"/>
  <c r="E17" i="1"/>
  <c r="E13" i="1"/>
  <c r="E8" i="1"/>
  <c r="N7" i="1"/>
  <c r="M7" i="1"/>
  <c r="L7" i="1"/>
  <c r="M35" i="1" l="1"/>
  <c r="M30" i="1"/>
  <c r="M29" i="1"/>
  <c r="M25" i="1"/>
  <c r="M22" i="1"/>
  <c r="M21" i="1"/>
  <c r="M16" i="1"/>
  <c r="L16" i="1"/>
  <c r="M14" i="1"/>
  <c r="M15" i="1"/>
  <c r="D31" i="1"/>
  <c r="D26" i="1"/>
  <c r="D13" i="1"/>
  <c r="D8" i="1"/>
  <c r="D17" i="1" l="1"/>
  <c r="D33" i="1" s="1"/>
  <c r="M13" i="1"/>
  <c r="M33" i="1" s="1"/>
  <c r="L35" i="1"/>
  <c r="L30" i="1"/>
  <c r="L29" i="1"/>
  <c r="L25" i="1"/>
  <c r="L22" i="1"/>
  <c r="L21" i="1"/>
  <c r="L15" i="1"/>
  <c r="C31" i="1"/>
  <c r="C26" i="1"/>
  <c r="C13" i="1"/>
  <c r="C17" i="1" s="1"/>
  <c r="E7" i="2"/>
  <c r="J7" i="2" l="1"/>
  <c r="G7" i="2"/>
  <c r="M34" i="1"/>
  <c r="M36" i="1"/>
  <c r="M37" i="1" s="1"/>
  <c r="C33" i="1"/>
  <c r="L13" i="1"/>
  <c r="L33" i="1" s="1"/>
  <c r="L34" i="1" s="1"/>
  <c r="L36" i="1" l="1"/>
  <c r="L37" i="1" s="1"/>
</calcChain>
</file>

<file path=xl/sharedStrings.xml><?xml version="1.0" encoding="utf-8"?>
<sst xmlns="http://schemas.openxmlformats.org/spreadsheetml/2006/main" count="64" uniqueCount="59">
  <si>
    <t xml:space="preserve">Analisis Consumo Davitel </t>
  </si>
  <si>
    <t>Sitio: Ing. Cipolletti 216 - NQN</t>
  </si>
  <si>
    <t>Cargo Fijo</t>
  </si>
  <si>
    <t>Cargo  Variable</t>
  </si>
  <si>
    <t>Primeros 250 KWh</t>
  </si>
  <si>
    <t>Siguientes KWh</t>
  </si>
  <si>
    <t>Multa exceso de Potencia.</t>
  </si>
  <si>
    <t>Registros de Medidor Instalado.</t>
  </si>
  <si>
    <t>KWh</t>
  </si>
  <si>
    <t>Fecha Medicion</t>
  </si>
  <si>
    <t>KWh desde Ultima lectura</t>
  </si>
  <si>
    <t>Impuestos</t>
  </si>
  <si>
    <t>Tasa Municipal</t>
  </si>
  <si>
    <t>Canon Municipal</t>
  </si>
  <si>
    <t>Fondo munic. Decr. 1210</t>
  </si>
  <si>
    <t>IVA</t>
  </si>
  <si>
    <t>Iva percepc RG 3337 AFIP</t>
  </si>
  <si>
    <t>IIBB</t>
  </si>
  <si>
    <t xml:space="preserve">Varios </t>
  </si>
  <si>
    <t>Aporte y capitalizacion</t>
  </si>
  <si>
    <t>ENERGIA</t>
  </si>
  <si>
    <t>Costo Variable KWh</t>
  </si>
  <si>
    <t>Dto Tg Fi</t>
  </si>
  <si>
    <t>TOTAL</t>
  </si>
  <si>
    <t>Int y recargos</t>
  </si>
  <si>
    <t>Total Final</t>
  </si>
  <si>
    <t>Costo KWh a tomar</t>
  </si>
  <si>
    <t>$/KWh</t>
  </si>
  <si>
    <t>Costo KWh</t>
  </si>
  <si>
    <t>Grossing up ICD + IIBB (6.5%)</t>
  </si>
  <si>
    <t>Total a facturar</t>
  </si>
  <si>
    <t>Seguimiento Consumo CABASE - Neuquen</t>
  </si>
  <si>
    <t>kwH</t>
  </si>
  <si>
    <t>AR$</t>
  </si>
  <si>
    <t>reajuste tarifa</t>
  </si>
  <si>
    <t>28-feb al 26-mar</t>
  </si>
  <si>
    <t>29-ene al 28-feb</t>
  </si>
  <si>
    <t>Consumo total (kwh)</t>
  </si>
  <si>
    <t>a TRASLADAR A Cabase</t>
  </si>
  <si>
    <t>26/3 al 26/4</t>
  </si>
  <si>
    <t>Feb</t>
  </si>
  <si>
    <t>MAR</t>
  </si>
  <si>
    <t>ABR</t>
  </si>
  <si>
    <t>AR$ iva incluido</t>
  </si>
  <si>
    <t>dias</t>
  </si>
  <si>
    <t>A facturar por mes</t>
  </si>
  <si>
    <t>AR$ iva incl</t>
  </si>
  <si>
    <t>KWh Promedio 30 dias</t>
  </si>
  <si>
    <t>Dias entre medic</t>
  </si>
  <si>
    <t>Dias</t>
  </si>
  <si>
    <t>Estimac Consumo mensual del periodo</t>
  </si>
  <si>
    <t>KWh/mes</t>
  </si>
  <si>
    <t>May</t>
  </si>
  <si>
    <t>26/4 al 28/5</t>
  </si>
  <si>
    <t>MAY</t>
  </si>
  <si>
    <t>JUN</t>
  </si>
  <si>
    <t>Jun</t>
  </si>
  <si>
    <t>JUL</t>
  </si>
  <si>
    <t>Jul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</si>
</sst>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\ _€_-;\-* #,##0.00\ _€_-;_-* &quot;-&quot;??\ _€_-;_-@_-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-[$$-2C0A]\ * #,##0.0000_-;\-[$$-2C0A]\ * #,##0.0000_-;_-[$$-2C0A]\ * &quot;-&quot;??_-;_-@_-"/>
    <numFmt numFmtId="167" formatCode="0.000"/>
    <numFmt numFmtId="168" formatCode="_-&quot;$&quot;* #,##0.0000_-;\-&quot;$&quot;* #,##0.0000_-;_-&quot;$&quot;* &quot;-&quot;??_-;_-@_-"/>
    <numFmt numFmtId="169" formatCode="_-* #,##0.0000_-;\-* #,##0.0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5">
    <xf numFmtId="0" fontId="0" fillId="0" borderId="0" xfId="0"/>
    <xf numFmtId="165" fontId="0" fillId="0" borderId="0" xfId="1" applyFont="1"/>
    <xf numFmtId="165" fontId="0" fillId="0" borderId="0" xfId="0" applyNumberFormat="1"/>
    <xf numFmtId="14" fontId="0" fillId="0" borderId="0" xfId="0" applyNumberFormat="1"/>
    <xf numFmtId="0" fontId="2" fillId="0" borderId="0" xfId="0" applyFont="1"/>
    <xf numFmtId="0" fontId="0" fillId="0" borderId="1" xfId="0" applyBorder="1"/>
    <xf numFmtId="0" fontId="0" fillId="0" borderId="2" xfId="0" applyBorder="1"/>
    <xf numFmtId="0" fontId="0" fillId="0" borderId="2" xfId="0" applyBorder="1" applyAlignment="1">
      <alignment horizontal="center" wrapText="1"/>
    </xf>
    <xf numFmtId="0" fontId="0" fillId="0" borderId="3" xfId="0" applyBorder="1"/>
    <xf numFmtId="0" fontId="0" fillId="0" borderId="2" xfId="0" applyBorder="1" applyAlignment="1">
      <alignment horizontal="center"/>
    </xf>
    <xf numFmtId="0" fontId="0" fillId="0" borderId="5" xfId="0" applyBorder="1"/>
    <xf numFmtId="0" fontId="0" fillId="0" borderId="0" xfId="0" applyBorder="1"/>
    <xf numFmtId="0" fontId="0" fillId="0" borderId="8" xfId="0" applyBorder="1"/>
    <xf numFmtId="0" fontId="0" fillId="0" borderId="7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14" fontId="0" fillId="0" borderId="12" xfId="0" applyNumberFormat="1" applyBorder="1"/>
    <xf numFmtId="0" fontId="0" fillId="0" borderId="13" xfId="0" applyBorder="1"/>
    <xf numFmtId="0" fontId="0" fillId="0" borderId="13" xfId="0" applyBorder="1" applyAlignment="1">
      <alignment horizontal="center"/>
    </xf>
    <xf numFmtId="14" fontId="0" fillId="0" borderId="15" xfId="0" applyNumberFormat="1" applyBorder="1"/>
    <xf numFmtId="0" fontId="0" fillId="0" borderId="16" xfId="0" applyBorder="1"/>
    <xf numFmtId="0" fontId="0" fillId="0" borderId="16" xfId="0" applyBorder="1" applyAlignment="1">
      <alignment horizontal="center"/>
    </xf>
    <xf numFmtId="168" fontId="0" fillId="0" borderId="16" xfId="2" applyNumberFormat="1" applyFont="1" applyBorder="1"/>
    <xf numFmtId="0" fontId="0" fillId="0" borderId="18" xfId="0" applyBorder="1"/>
    <xf numFmtId="0" fontId="0" fillId="0" borderId="19" xfId="0" applyBorder="1"/>
    <xf numFmtId="164" fontId="0" fillId="0" borderId="14" xfId="2" applyFont="1" applyBorder="1"/>
    <xf numFmtId="164" fontId="0" fillId="0" borderId="17" xfId="2" applyFont="1" applyBorder="1"/>
    <xf numFmtId="164" fontId="0" fillId="0" borderId="20" xfId="2" applyFont="1" applyBorder="1"/>
    <xf numFmtId="165" fontId="0" fillId="0" borderId="0" xfId="0" applyNumberFormat="1" applyBorder="1"/>
    <xf numFmtId="0" fontId="2" fillId="0" borderId="7" xfId="0" applyFont="1" applyBorder="1"/>
    <xf numFmtId="164" fontId="0" fillId="0" borderId="0" xfId="0" applyNumberFormat="1" applyBorder="1"/>
    <xf numFmtId="0" fontId="0" fillId="0" borderId="7" xfId="0" applyFont="1" applyBorder="1"/>
    <xf numFmtId="0" fontId="2" fillId="0" borderId="9" xfId="0" applyFont="1" applyBorder="1"/>
    <xf numFmtId="0" fontId="2" fillId="0" borderId="1" xfId="0" applyFont="1" applyBorder="1"/>
    <xf numFmtId="0" fontId="0" fillId="0" borderId="4" xfId="0" applyBorder="1"/>
    <xf numFmtId="165" fontId="0" fillId="0" borderId="5" xfId="0" applyNumberFormat="1" applyBorder="1"/>
    <xf numFmtId="165" fontId="0" fillId="0" borderId="6" xfId="0" applyNumberFormat="1" applyBorder="1"/>
    <xf numFmtId="167" fontId="0" fillId="0" borderId="10" xfId="0" applyNumberFormat="1" applyBorder="1"/>
    <xf numFmtId="169" fontId="0" fillId="0" borderId="0" xfId="0" applyNumberFormat="1"/>
    <xf numFmtId="164" fontId="0" fillId="0" borderId="7" xfId="2" applyFont="1" applyBorder="1"/>
    <xf numFmtId="166" fontId="0" fillId="0" borderId="7" xfId="0" applyNumberFormat="1" applyBorder="1"/>
    <xf numFmtId="165" fontId="0" fillId="0" borderId="7" xfId="1" applyFont="1" applyBorder="1"/>
    <xf numFmtId="164" fontId="2" fillId="0" borderId="7" xfId="2" applyFont="1" applyBorder="1"/>
    <xf numFmtId="164" fontId="0" fillId="0" borderId="7" xfId="2" applyFont="1" applyBorder="1" applyAlignment="1">
      <alignment horizontal="center"/>
    </xf>
    <xf numFmtId="164" fontId="2" fillId="0" borderId="7" xfId="2" applyFont="1" applyBorder="1" applyAlignment="1">
      <alignment horizontal="center"/>
    </xf>
    <xf numFmtId="164" fontId="2" fillId="0" borderId="1" xfId="0" applyNumberFormat="1" applyFont="1" applyBorder="1"/>
    <xf numFmtId="164" fontId="2" fillId="0" borderId="9" xfId="0" applyNumberFormat="1" applyFont="1" applyBorder="1"/>
    <xf numFmtId="0" fontId="2" fillId="0" borderId="0" xfId="0" applyFont="1" applyBorder="1"/>
    <xf numFmtId="164" fontId="2" fillId="0" borderId="0" xfId="0" applyNumberFormat="1" applyFont="1" applyBorder="1"/>
    <xf numFmtId="9" fontId="0" fillId="0" borderId="0" xfId="3" applyFont="1" applyBorder="1"/>
    <xf numFmtId="0" fontId="0" fillId="0" borderId="22" xfId="0" applyBorder="1"/>
    <xf numFmtId="0" fontId="0" fillId="0" borderId="23" xfId="0" applyBorder="1"/>
    <xf numFmtId="0" fontId="0" fillId="0" borderId="21" xfId="0" applyBorder="1"/>
    <xf numFmtId="164" fontId="0" fillId="0" borderId="23" xfId="0" applyNumberFormat="1" applyBorder="1"/>
    <xf numFmtId="165" fontId="0" fillId="0" borderId="23" xfId="1" applyFont="1" applyBorder="1"/>
    <xf numFmtId="0" fontId="0" fillId="0" borderId="23" xfId="0" applyFill="1" applyBorder="1"/>
    <xf numFmtId="164" fontId="2" fillId="0" borderId="23" xfId="2" applyFont="1" applyBorder="1"/>
    <xf numFmtId="0" fontId="0" fillId="0" borderId="23" xfId="0" applyBorder="1" applyAlignment="1">
      <alignment horizontal="center"/>
    </xf>
    <xf numFmtId="164" fontId="0" fillId="0" borderId="23" xfId="0" applyNumberFormat="1" applyBorder="1" applyAlignment="1">
      <alignment horizontal="center"/>
    </xf>
    <xf numFmtId="164" fontId="2" fillId="0" borderId="23" xfId="2" applyFont="1" applyBorder="1" applyAlignment="1">
      <alignment horizontal="center"/>
    </xf>
    <xf numFmtId="164" fontId="2" fillId="0" borderId="21" xfId="0" applyNumberFormat="1" applyFont="1" applyBorder="1"/>
    <xf numFmtId="164" fontId="2" fillId="0" borderId="24" xfId="0" applyNumberFormat="1" applyFont="1" applyBorder="1"/>
    <xf numFmtId="165" fontId="0" fillId="0" borderId="0" xfId="1" applyFont="1" applyBorder="1"/>
    <xf numFmtId="0" fontId="0" fillId="0" borderId="0" xfId="0" applyFill="1" applyBorder="1"/>
    <xf numFmtId="164" fontId="2" fillId="0" borderId="0" xfId="2" applyFont="1" applyBorder="1"/>
    <xf numFmtId="0" fontId="0" fillId="0" borderId="0" xfId="0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2" fillId="0" borderId="0" xfId="2" applyFont="1" applyBorder="1" applyAlignment="1">
      <alignment horizontal="center"/>
    </xf>
    <xf numFmtId="164" fontId="0" fillId="0" borderId="0" xfId="2" applyFont="1" applyBorder="1"/>
    <xf numFmtId="0" fontId="0" fillId="2" borderId="23" xfId="0" applyFill="1" applyBorder="1"/>
    <xf numFmtId="0" fontId="0" fillId="0" borderId="3" xfId="0" applyBorder="1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9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5" xfId="1" applyNumberFormat="1" applyFont="1" applyBorder="1" applyAlignment="1">
      <alignment horizontal="center"/>
    </xf>
    <xf numFmtId="0" fontId="0" fillId="0" borderId="18" xfId="1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2" borderId="3" xfId="0" applyFill="1" applyBorder="1" applyAlignment="1">
      <alignment horizontal="center" wrapText="1"/>
    </xf>
    <xf numFmtId="165" fontId="0" fillId="0" borderId="5" xfId="1" applyFont="1" applyBorder="1" applyAlignment="1">
      <alignment horizontal="center"/>
    </xf>
    <xf numFmtId="165" fontId="0" fillId="0" borderId="5" xfId="0" applyNumberFormat="1" applyBorder="1" applyAlignment="1">
      <alignment horizontal="center"/>
    </xf>
    <xf numFmtId="164" fontId="0" fillId="2" borderId="6" xfId="0" applyNumberFormat="1" applyFill="1" applyBorder="1"/>
    <xf numFmtId="0" fontId="0" fillId="2" borderId="11" xfId="0" applyFill="1" applyBorder="1"/>
    <xf numFmtId="168" fontId="0" fillId="0" borderId="0" xfId="0" applyNumberFormat="1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/>
    </xf>
    <xf numFmtId="14" fontId="0" fillId="0" borderId="25" xfId="0" applyNumberFormat="1" applyBorder="1"/>
    <xf numFmtId="0" fontId="0" fillId="0" borderId="26" xfId="0" applyBorder="1"/>
    <xf numFmtId="0" fontId="0" fillId="0" borderId="26" xfId="0" applyBorder="1" applyAlignment="1">
      <alignment horizontal="center"/>
    </xf>
    <xf numFmtId="168" fontId="0" fillId="0" borderId="26" xfId="2" applyNumberFormat="1" applyFont="1" applyBorder="1"/>
    <xf numFmtId="164" fontId="0" fillId="0" borderId="27" xfId="2" applyFont="1" applyBorder="1"/>
    <xf numFmtId="0" fontId="0" fillId="0" borderId="25" xfId="1" applyNumberFormat="1" applyFont="1" applyBorder="1" applyAlignment="1">
      <alignment horizontal="center"/>
    </xf>
    <xf numFmtId="43" fontId="0" fillId="0" borderId="0" xfId="0" applyNumberFormat="1"/>
    <xf numFmtId="0" fontId="0" fillId="0" borderId="0" xfId="0" applyBorder="1" applyAlignment="1">
      <alignment horizontal="center"/>
    </xf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F70D2-E488-4B4F-B5A5-5EF426031924}">
  <dimension ref="A3:S58"/>
  <sheetViews>
    <sheetView showGridLines="0" topLeftCell="D16" workbookViewId="0">
      <selection activeCell="Q33" sqref="Q33"/>
    </sheetView>
  </sheetViews>
  <sheetFormatPr baseColWidth="10" defaultRowHeight="15" x14ac:dyDescent="0.25"/>
  <cols>
    <col min="2" max="2" width="32.140625" customWidth="1"/>
    <col min="3" max="3" width="16.5703125" customWidth="1"/>
    <col min="4" max="4" width="14.7109375" customWidth="1"/>
    <col min="5" max="8" width="15" customWidth="1"/>
    <col min="9" max="11" width="4.5703125" customWidth="1"/>
    <col min="12" max="12" width="11.85546875" customWidth="1"/>
    <col min="13" max="15" width="12.5703125" customWidth="1"/>
  </cols>
  <sheetData>
    <row r="3" spans="2:18" x14ac:dyDescent="0.25">
      <c r="B3" s="4" t="s">
        <v>0</v>
      </c>
    </row>
    <row r="4" spans="2:18" ht="15.75" thickBot="1" x14ac:dyDescent="0.3"/>
    <row r="5" spans="2:18" x14ac:dyDescent="0.25">
      <c r="B5" s="4" t="s">
        <v>1</v>
      </c>
      <c r="C5" s="35" t="s">
        <v>36</v>
      </c>
      <c r="D5" s="51" t="s">
        <v>35</v>
      </c>
      <c r="E5" s="64" t="s">
        <v>39</v>
      </c>
      <c r="F5" s="64" t="s">
        <v>53</v>
      </c>
      <c r="G5" s="64"/>
      <c r="H5" s="64"/>
      <c r="I5" s="64"/>
      <c r="J5" s="64"/>
      <c r="K5" s="64"/>
    </row>
    <row r="6" spans="2:18" ht="15.75" thickBot="1" x14ac:dyDescent="0.3">
      <c r="C6" s="13"/>
      <c r="D6" s="52"/>
      <c r="E6" s="11"/>
      <c r="F6" s="11"/>
      <c r="G6" s="11"/>
      <c r="H6" s="11"/>
      <c r="I6" s="11"/>
      <c r="J6" s="11"/>
      <c r="K6" s="11"/>
      <c r="L6" s="94" t="s">
        <v>38</v>
      </c>
      <c r="M6" s="94"/>
      <c r="N6" s="66"/>
      <c r="O6" s="78"/>
    </row>
    <row r="7" spans="2:18" ht="15.75" thickBot="1" x14ac:dyDescent="0.3">
      <c r="B7" s="34" t="s">
        <v>20</v>
      </c>
      <c r="C7" s="5" t="s">
        <v>40</v>
      </c>
      <c r="D7" s="53" t="s">
        <v>41</v>
      </c>
      <c r="E7" s="6" t="s">
        <v>42</v>
      </c>
      <c r="F7" s="6" t="s">
        <v>54</v>
      </c>
      <c r="G7" s="64" t="s">
        <v>55</v>
      </c>
      <c r="H7" s="64" t="s">
        <v>57</v>
      </c>
      <c r="I7" s="11"/>
      <c r="J7" s="11"/>
      <c r="K7" s="11"/>
      <c r="L7" s="11" t="str">
        <f>+C7</f>
        <v>Feb</v>
      </c>
      <c r="M7" s="11" t="str">
        <f>+D7</f>
        <v>MAR</v>
      </c>
      <c r="N7" s="11" t="str">
        <f>+E7</f>
        <v>ABR</v>
      </c>
      <c r="O7" s="11" t="s">
        <v>52</v>
      </c>
      <c r="P7" t="s">
        <v>56</v>
      </c>
      <c r="R7" t="s">
        <v>58</v>
      </c>
    </row>
    <row r="8" spans="2:18" x14ac:dyDescent="0.25">
      <c r="B8" s="13" t="s">
        <v>2</v>
      </c>
      <c r="C8" s="40">
        <v>212.75</v>
      </c>
      <c r="D8" s="54">
        <f>+C8</f>
        <v>212.75</v>
      </c>
      <c r="E8" s="31">
        <f>+D8</f>
        <v>212.75</v>
      </c>
      <c r="F8" s="31">
        <f>+E8</f>
        <v>212.75</v>
      </c>
      <c r="G8" s="31">
        <v>212.75</v>
      </c>
      <c r="H8" s="31">
        <v>212.75</v>
      </c>
      <c r="I8" s="31"/>
      <c r="J8" s="31"/>
      <c r="K8" s="31"/>
      <c r="L8" s="11"/>
      <c r="M8" s="11"/>
      <c r="N8" s="11"/>
      <c r="O8" s="11"/>
    </row>
    <row r="9" spans="2:18" x14ac:dyDescent="0.25">
      <c r="B9" s="13" t="s">
        <v>3</v>
      </c>
      <c r="C9" s="13"/>
      <c r="D9" s="52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</row>
    <row r="10" spans="2:18" x14ac:dyDescent="0.25">
      <c r="B10" s="13" t="s">
        <v>4</v>
      </c>
      <c r="C10" s="41">
        <v>3.6025</v>
      </c>
      <c r="D10" s="70">
        <v>3.8334000000000001</v>
      </c>
      <c r="E10" s="52">
        <v>3.8334000000000001</v>
      </c>
      <c r="F10" s="52">
        <v>3.8334000000000001</v>
      </c>
      <c r="G10" s="52">
        <v>3.8334000000000001</v>
      </c>
      <c r="H10" s="52">
        <v>3.8334000000000001</v>
      </c>
      <c r="I10" s="11"/>
      <c r="J10" s="11"/>
      <c r="K10" s="11"/>
      <c r="L10" s="11"/>
      <c r="M10" s="11"/>
      <c r="N10" s="11"/>
      <c r="O10" s="11"/>
    </row>
    <row r="11" spans="2:18" x14ac:dyDescent="0.25">
      <c r="B11" s="13" t="s">
        <v>5</v>
      </c>
      <c r="C11" s="41">
        <v>3.7176</v>
      </c>
      <c r="D11" s="70">
        <v>3.9485999999999999</v>
      </c>
      <c r="E11" s="52">
        <v>3.9485999999999999</v>
      </c>
      <c r="F11" s="52">
        <v>3.9485999999999999</v>
      </c>
      <c r="G11" s="52">
        <v>3.9485999999999999</v>
      </c>
      <c r="H11" s="52">
        <v>3.9485999999999999</v>
      </c>
      <c r="I11" s="11"/>
      <c r="J11" s="11"/>
      <c r="K11" s="11"/>
      <c r="L11" s="11"/>
      <c r="M11" s="11"/>
      <c r="N11" s="11"/>
      <c r="O11" s="11"/>
      <c r="R11" s="1"/>
    </row>
    <row r="12" spans="2:18" x14ac:dyDescent="0.25">
      <c r="B12" s="13" t="s">
        <v>37</v>
      </c>
      <c r="C12" s="42">
        <v>16090</v>
      </c>
      <c r="D12" s="52">
        <v>13211</v>
      </c>
      <c r="E12" s="11">
        <v>16099</v>
      </c>
      <c r="F12" s="11">
        <v>16251</v>
      </c>
      <c r="G12" s="64">
        <v>15752</v>
      </c>
      <c r="H12" s="64">
        <v>19354</v>
      </c>
      <c r="I12" s="11"/>
      <c r="J12" s="11"/>
      <c r="K12" s="11"/>
      <c r="L12" s="11"/>
      <c r="M12" s="11"/>
      <c r="N12" s="11"/>
      <c r="O12" s="11"/>
    </row>
    <row r="13" spans="2:18" x14ac:dyDescent="0.25">
      <c r="B13" s="13" t="s">
        <v>21</v>
      </c>
      <c r="C13" s="42">
        <f>250*C10+(C12-250)*C11</f>
        <v>59787.409</v>
      </c>
      <c r="D13" s="55">
        <f>250*D10+(D12-250)*D11</f>
        <v>52136.154599999994</v>
      </c>
      <c r="E13" s="55">
        <f>250*E10+(E12-250)*E11</f>
        <v>63539.7114</v>
      </c>
      <c r="F13" s="55">
        <f>250*F10+(F12-250)*F11+3</f>
        <v>64142.898599999993</v>
      </c>
      <c r="G13" s="55">
        <f>250*G10+(G12-250)*G11+3</f>
        <v>62172.547199999994</v>
      </c>
      <c r="H13" s="55">
        <f>250*H10+(H12-250)*H11+3</f>
        <v>76395.404399999999</v>
      </c>
      <c r="I13" s="63"/>
      <c r="J13" s="63"/>
      <c r="K13" s="63"/>
      <c r="L13" s="29">
        <f>+C13</f>
        <v>59787.409</v>
      </c>
      <c r="M13" s="29">
        <f>+D13</f>
        <v>52136.154599999994</v>
      </c>
      <c r="N13" s="29">
        <f>+E13</f>
        <v>63539.7114</v>
      </c>
      <c r="O13" s="29">
        <f>+F13</f>
        <v>64142.898599999993</v>
      </c>
      <c r="P13" s="29">
        <f>+G13</f>
        <v>62172.547199999994</v>
      </c>
      <c r="Q13" s="29">
        <f>+H13</f>
        <v>76395.404399999999</v>
      </c>
    </row>
    <row r="14" spans="2:18" x14ac:dyDescent="0.25">
      <c r="B14" s="13" t="s">
        <v>34</v>
      </c>
      <c r="C14" s="42">
        <v>0</v>
      </c>
      <c r="D14" s="55">
        <v>3716.82</v>
      </c>
      <c r="E14" s="63"/>
      <c r="F14" s="63"/>
      <c r="G14" s="63"/>
      <c r="H14" s="63"/>
      <c r="I14" s="63"/>
      <c r="J14" s="63"/>
      <c r="K14" s="63"/>
      <c r="L14" s="29"/>
      <c r="M14" s="29">
        <f t="shared" ref="M14:Q16" si="0">+D14</f>
        <v>3716.82</v>
      </c>
      <c r="N14" s="29">
        <f t="shared" si="0"/>
        <v>0</v>
      </c>
      <c r="O14" s="29">
        <f t="shared" si="0"/>
        <v>0</v>
      </c>
      <c r="P14" s="29">
        <f t="shared" si="0"/>
        <v>0</v>
      </c>
      <c r="Q14" s="29">
        <f t="shared" si="0"/>
        <v>0</v>
      </c>
    </row>
    <row r="15" spans="2:18" x14ac:dyDescent="0.25">
      <c r="B15" s="13" t="s">
        <v>22</v>
      </c>
      <c r="C15" s="42">
        <v>-8897.32</v>
      </c>
      <c r="D15" s="56">
        <v>-7717</v>
      </c>
      <c r="E15" s="64">
        <v>-9174.18</v>
      </c>
      <c r="F15" s="64">
        <v>-9437.02</v>
      </c>
      <c r="G15" s="64">
        <v>-8959.2800000000007</v>
      </c>
      <c r="H15" s="64">
        <v>-10809.01</v>
      </c>
      <c r="I15" s="64"/>
      <c r="J15" s="64"/>
      <c r="K15" s="64"/>
      <c r="L15" s="29">
        <f>+C15</f>
        <v>-8897.32</v>
      </c>
      <c r="M15" s="29">
        <f t="shared" si="0"/>
        <v>-7717</v>
      </c>
      <c r="N15" s="29">
        <f t="shared" si="0"/>
        <v>-9174.18</v>
      </c>
      <c r="O15" s="29">
        <f t="shared" si="0"/>
        <v>-9437.02</v>
      </c>
      <c r="P15" s="29">
        <f t="shared" si="0"/>
        <v>-8959.2800000000007</v>
      </c>
      <c r="Q15" s="29">
        <f t="shared" si="0"/>
        <v>-10809.01</v>
      </c>
    </row>
    <row r="16" spans="2:18" x14ac:dyDescent="0.25">
      <c r="B16" s="13" t="s">
        <v>6</v>
      </c>
      <c r="C16" s="40">
        <v>531.88</v>
      </c>
      <c r="D16" s="56">
        <v>255.3</v>
      </c>
      <c r="E16" s="64">
        <v>170.2</v>
      </c>
      <c r="F16" s="64">
        <v>0</v>
      </c>
      <c r="G16" s="64">
        <v>170.2</v>
      </c>
      <c r="H16" s="64">
        <v>148.91999999999999</v>
      </c>
      <c r="I16" s="64"/>
      <c r="J16" s="64"/>
      <c r="K16" s="64"/>
      <c r="L16" s="31">
        <f>+C16</f>
        <v>531.88</v>
      </c>
      <c r="M16" s="11">
        <f t="shared" si="0"/>
        <v>255.3</v>
      </c>
      <c r="N16" s="11">
        <f t="shared" si="0"/>
        <v>170.2</v>
      </c>
      <c r="O16" s="11">
        <f t="shared" si="0"/>
        <v>0</v>
      </c>
      <c r="P16" s="11">
        <f t="shared" si="0"/>
        <v>170.2</v>
      </c>
      <c r="Q16" s="11">
        <f t="shared" si="0"/>
        <v>148.91999999999999</v>
      </c>
    </row>
    <row r="17" spans="1:19" x14ac:dyDescent="0.25">
      <c r="B17" s="30" t="s">
        <v>23</v>
      </c>
      <c r="C17" s="43">
        <f>+SUM(C13:C16,C8)</f>
        <v>51634.718999999997</v>
      </c>
      <c r="D17" s="57">
        <f>+SUM(D13:D16,D8)</f>
        <v>48604.024599999997</v>
      </c>
      <c r="E17" s="57">
        <f>+SUM(E13:E16,E8)</f>
        <v>54748.481399999997</v>
      </c>
      <c r="F17" s="57">
        <f>+SUM(F13:F16,F8)</f>
        <v>54918.628599999996</v>
      </c>
      <c r="G17" s="57">
        <f>+SUM(G13:G16,G8)</f>
        <v>53596.217199999992</v>
      </c>
      <c r="H17" s="57">
        <f>+SUM(H13:H16,H8)</f>
        <v>65948.064400000003</v>
      </c>
      <c r="I17" s="65"/>
      <c r="J17" s="65"/>
      <c r="K17" s="65"/>
      <c r="L17" s="11"/>
      <c r="M17" s="11"/>
      <c r="N17" s="11"/>
      <c r="O17" s="11"/>
    </row>
    <row r="18" spans="1:19" ht="15.75" thickBot="1" x14ac:dyDescent="0.3">
      <c r="B18" s="13"/>
      <c r="C18" s="13"/>
      <c r="D18" s="52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S18" s="2"/>
    </row>
    <row r="19" spans="1:19" ht="15.75" thickBot="1" x14ac:dyDescent="0.3">
      <c r="B19" s="34" t="s">
        <v>11</v>
      </c>
      <c r="C19" s="5"/>
      <c r="D19" s="53"/>
      <c r="E19" s="6"/>
      <c r="F19" s="6"/>
      <c r="G19" s="11"/>
      <c r="H19" s="11"/>
      <c r="I19" s="11"/>
      <c r="J19" s="11"/>
      <c r="K19" s="11"/>
      <c r="L19" s="11"/>
      <c r="M19" s="11"/>
      <c r="N19" s="11"/>
      <c r="O19" s="11"/>
    </row>
    <row r="20" spans="1:19" x14ac:dyDescent="0.25">
      <c r="A20" s="3"/>
      <c r="B20" s="13" t="s">
        <v>12</v>
      </c>
      <c r="C20" s="44">
        <v>540</v>
      </c>
      <c r="D20" s="58">
        <v>540</v>
      </c>
      <c r="E20" s="66">
        <v>540</v>
      </c>
      <c r="F20" s="78">
        <v>540</v>
      </c>
      <c r="G20" s="85">
        <v>540</v>
      </c>
      <c r="H20" s="86">
        <v>540</v>
      </c>
      <c r="I20" s="66"/>
      <c r="J20" s="66"/>
      <c r="K20" s="66"/>
      <c r="L20" s="11"/>
      <c r="M20" s="11"/>
      <c r="N20" s="11"/>
      <c r="O20" s="11"/>
    </row>
    <row r="21" spans="1:19" x14ac:dyDescent="0.25">
      <c r="A21" s="3"/>
      <c r="B21" s="13" t="s">
        <v>13</v>
      </c>
      <c r="C21" s="44">
        <v>3098.07</v>
      </c>
      <c r="D21" s="58">
        <v>2916.25</v>
      </c>
      <c r="E21" s="66">
        <v>3284</v>
      </c>
      <c r="F21" s="78">
        <v>3295</v>
      </c>
      <c r="G21" s="85">
        <v>3215.81</v>
      </c>
      <c r="H21" s="86">
        <v>3956.93</v>
      </c>
      <c r="I21" s="66"/>
      <c r="J21" s="66"/>
      <c r="K21" s="66"/>
      <c r="L21" s="31">
        <f t="shared" ref="L21:Q22" si="1">+C21</f>
        <v>3098.07</v>
      </c>
      <c r="M21" s="11">
        <f t="shared" si="1"/>
        <v>2916.25</v>
      </c>
      <c r="N21" s="11">
        <f t="shared" si="1"/>
        <v>3284</v>
      </c>
      <c r="O21" s="11">
        <f t="shared" si="1"/>
        <v>3295</v>
      </c>
      <c r="P21" s="11">
        <f t="shared" si="1"/>
        <v>3215.81</v>
      </c>
      <c r="Q21" s="11">
        <f t="shared" si="1"/>
        <v>3956.93</v>
      </c>
    </row>
    <row r="22" spans="1:19" x14ac:dyDescent="0.25">
      <c r="A22" s="3"/>
      <c r="B22" s="13" t="s">
        <v>14</v>
      </c>
      <c r="C22" s="44">
        <v>516.35</v>
      </c>
      <c r="D22" s="58">
        <v>486.04</v>
      </c>
      <c r="E22" s="66">
        <v>547.49</v>
      </c>
      <c r="F22" s="78">
        <v>549.17999999999995</v>
      </c>
      <c r="G22" s="85">
        <v>535.97</v>
      </c>
      <c r="H22" s="86">
        <v>659.49</v>
      </c>
      <c r="I22" s="66"/>
      <c r="J22" s="66"/>
      <c r="K22" s="66"/>
      <c r="L22" s="31">
        <f t="shared" si="1"/>
        <v>516.35</v>
      </c>
      <c r="M22" s="11">
        <f t="shared" si="1"/>
        <v>486.04</v>
      </c>
      <c r="N22" s="11">
        <f t="shared" si="1"/>
        <v>547.49</v>
      </c>
      <c r="O22" s="11">
        <f t="shared" si="1"/>
        <v>549.17999999999995</v>
      </c>
      <c r="P22" s="11">
        <f t="shared" si="1"/>
        <v>535.97</v>
      </c>
      <c r="Q22" s="11">
        <f t="shared" si="1"/>
        <v>659.49</v>
      </c>
    </row>
    <row r="23" spans="1:19" x14ac:dyDescent="0.25">
      <c r="A23" s="3"/>
      <c r="B23" s="13" t="s">
        <v>15</v>
      </c>
      <c r="C23" s="44">
        <v>14219.27</v>
      </c>
      <c r="D23" s="58">
        <v>13123.07</v>
      </c>
      <c r="E23" s="67">
        <v>16421.72</v>
      </c>
      <c r="F23" s="67">
        <v>14827.85</v>
      </c>
      <c r="G23" s="67">
        <v>15814.77</v>
      </c>
      <c r="H23" s="67">
        <v>17811.53</v>
      </c>
      <c r="I23" s="66"/>
      <c r="J23" s="66"/>
      <c r="K23" s="66"/>
      <c r="L23" s="11"/>
      <c r="M23" s="11"/>
      <c r="N23" s="11"/>
      <c r="O23" s="11"/>
      <c r="P23" s="11"/>
      <c r="Q23" s="11"/>
    </row>
    <row r="24" spans="1:19" x14ac:dyDescent="0.25">
      <c r="A24" s="3"/>
      <c r="B24" s="13" t="s">
        <v>16</v>
      </c>
      <c r="C24" s="44">
        <v>1579.92</v>
      </c>
      <c r="D24" s="59">
        <v>1458.12</v>
      </c>
      <c r="E24" s="67">
        <v>1824.64</v>
      </c>
      <c r="F24" s="67">
        <v>1647.54</v>
      </c>
      <c r="G24" s="67">
        <v>1757.2</v>
      </c>
      <c r="H24" s="67">
        <v>1979.06</v>
      </c>
      <c r="I24" s="67"/>
      <c r="J24" s="67"/>
      <c r="K24" s="67"/>
      <c r="L24" s="11"/>
      <c r="M24" s="11"/>
      <c r="N24" s="11"/>
      <c r="O24" s="11"/>
      <c r="P24" s="11"/>
      <c r="Q24" s="11"/>
    </row>
    <row r="25" spans="1:19" x14ac:dyDescent="0.25">
      <c r="A25" s="3"/>
      <c r="B25" s="13" t="s">
        <v>17</v>
      </c>
      <c r="C25" s="44">
        <v>526.65</v>
      </c>
      <c r="D25" s="58">
        <v>486.04</v>
      </c>
      <c r="E25" s="66">
        <v>608.22</v>
      </c>
      <c r="F25" s="78">
        <v>549.17999999999995</v>
      </c>
      <c r="G25" s="85">
        <v>585.73</v>
      </c>
      <c r="H25" s="86">
        <v>659.69</v>
      </c>
      <c r="I25" s="66"/>
      <c r="J25" s="66"/>
      <c r="K25" s="66"/>
      <c r="L25" s="31">
        <f>+C25</f>
        <v>526.65</v>
      </c>
      <c r="M25" s="11">
        <f>+D25</f>
        <v>486.04</v>
      </c>
      <c r="N25" s="11">
        <f>+E25</f>
        <v>608.22</v>
      </c>
      <c r="O25" s="11">
        <f>+F25</f>
        <v>549.17999999999995</v>
      </c>
      <c r="P25" s="11">
        <f>+G25</f>
        <v>585.73</v>
      </c>
      <c r="Q25" s="11">
        <f>+H25</f>
        <v>659.69</v>
      </c>
    </row>
    <row r="26" spans="1:19" x14ac:dyDescent="0.25">
      <c r="A26" s="3"/>
      <c r="B26" s="30" t="s">
        <v>23</v>
      </c>
      <c r="C26" s="45">
        <f>SUM(C20:C25)</f>
        <v>20480.260000000002</v>
      </c>
      <c r="D26" s="60">
        <f>SUM(D20:D25)</f>
        <v>19009.52</v>
      </c>
      <c r="E26" s="60">
        <f>SUM(E20:E25)</f>
        <v>23226.07</v>
      </c>
      <c r="F26" s="60">
        <f>SUM(F20:F25)</f>
        <v>21408.75</v>
      </c>
      <c r="G26" s="60">
        <f>SUM(G20:G25)</f>
        <v>22449.48</v>
      </c>
      <c r="H26" s="60">
        <f>SUM(H20:H25)</f>
        <v>25606.699999999997</v>
      </c>
      <c r="I26" s="68"/>
      <c r="J26" s="68"/>
      <c r="K26" s="68"/>
      <c r="L26" s="11"/>
      <c r="M26" s="11"/>
      <c r="N26" s="11"/>
      <c r="O26" s="11"/>
    </row>
    <row r="27" spans="1:19" ht="15.75" thickBot="1" x14ac:dyDescent="0.3">
      <c r="A27" s="3"/>
      <c r="B27" s="13"/>
      <c r="C27" s="44"/>
      <c r="D27" s="58"/>
      <c r="E27" s="66"/>
      <c r="F27" s="78"/>
      <c r="G27" s="85"/>
      <c r="H27" s="86"/>
      <c r="I27" s="66"/>
      <c r="J27" s="66"/>
      <c r="K27" s="66"/>
      <c r="L27" s="11"/>
      <c r="M27" s="11"/>
      <c r="N27" s="11"/>
      <c r="O27" s="11"/>
    </row>
    <row r="28" spans="1:19" ht="15.75" thickBot="1" x14ac:dyDescent="0.3">
      <c r="A28" s="3"/>
      <c r="B28" s="34" t="s">
        <v>18</v>
      </c>
      <c r="C28" s="5"/>
      <c r="D28" s="53"/>
      <c r="E28" s="6"/>
      <c r="F28" s="6"/>
      <c r="G28" s="11"/>
      <c r="H28" s="11"/>
      <c r="I28" s="11"/>
      <c r="J28" s="11"/>
      <c r="K28" s="11"/>
      <c r="L28" s="11"/>
      <c r="M28" s="11"/>
      <c r="N28" s="11"/>
      <c r="O28" s="11"/>
    </row>
    <row r="29" spans="1:19" x14ac:dyDescent="0.25">
      <c r="A29" s="3"/>
      <c r="B29" s="13" t="s">
        <v>19</v>
      </c>
      <c r="C29" s="44">
        <v>7228.83</v>
      </c>
      <c r="D29" s="52">
        <v>6804.55</v>
      </c>
      <c r="E29" s="11">
        <v>7664.79</v>
      </c>
      <c r="F29" s="11">
        <v>7664.79</v>
      </c>
      <c r="G29" s="64">
        <v>7503.55</v>
      </c>
      <c r="H29" s="64">
        <v>9232.81</v>
      </c>
      <c r="I29" s="11"/>
      <c r="J29" s="11"/>
      <c r="K29" s="11"/>
      <c r="L29" s="31">
        <f t="shared" ref="L29:Q30" si="2">+C29</f>
        <v>7228.83</v>
      </c>
      <c r="M29" s="11">
        <f t="shared" si="2"/>
        <v>6804.55</v>
      </c>
      <c r="N29" s="11">
        <f t="shared" si="2"/>
        <v>7664.79</v>
      </c>
      <c r="O29" s="11">
        <f t="shared" si="2"/>
        <v>7664.79</v>
      </c>
      <c r="P29" s="11">
        <f t="shared" si="2"/>
        <v>7503.55</v>
      </c>
      <c r="Q29" s="11">
        <f t="shared" si="2"/>
        <v>9232.81</v>
      </c>
    </row>
    <row r="30" spans="1:19" ht="15.75" thickBot="1" x14ac:dyDescent="0.3">
      <c r="A30" s="3"/>
      <c r="B30" s="32" t="s">
        <v>24</v>
      </c>
      <c r="C30" s="40">
        <v>1029.5</v>
      </c>
      <c r="D30" s="52"/>
      <c r="E30" s="11">
        <v>6072.73</v>
      </c>
      <c r="F30" s="11"/>
      <c r="G30" s="11">
        <v>4976.47</v>
      </c>
      <c r="H30" s="64">
        <v>20</v>
      </c>
      <c r="I30" s="11"/>
      <c r="J30" s="11"/>
      <c r="K30" s="11"/>
      <c r="L30" s="31">
        <f t="shared" si="2"/>
        <v>1029.5</v>
      </c>
      <c r="M30" s="11">
        <f t="shared" si="2"/>
        <v>0</v>
      </c>
      <c r="N30" s="11">
        <f t="shared" si="2"/>
        <v>6072.73</v>
      </c>
      <c r="O30" s="11"/>
    </row>
    <row r="31" spans="1:19" ht="15.75" thickBot="1" x14ac:dyDescent="0.3">
      <c r="A31" s="3"/>
      <c r="B31" s="34" t="s">
        <v>23</v>
      </c>
      <c r="C31" s="46">
        <f>SUM(C29:C30)</f>
        <v>8258.33</v>
      </c>
      <c r="D31" s="61">
        <f>SUM(D29:D30)</f>
        <v>6804.55</v>
      </c>
      <c r="E31" s="61">
        <f>SUM(E29:E30)</f>
        <v>13737.52</v>
      </c>
      <c r="F31" s="61">
        <f>SUM(F29:F30)</f>
        <v>7664.79</v>
      </c>
      <c r="G31" s="61">
        <f>SUM(G29:G30)</f>
        <v>12480.02</v>
      </c>
      <c r="H31" s="61">
        <f>SUM(H29:H30)</f>
        <v>9252.81</v>
      </c>
      <c r="I31" s="49"/>
      <c r="J31" s="49"/>
      <c r="K31" s="49"/>
      <c r="L31" s="11"/>
      <c r="M31" s="11"/>
      <c r="N31" s="11"/>
      <c r="O31" s="11"/>
    </row>
    <row r="32" spans="1:19" x14ac:dyDescent="0.25">
      <c r="A32" s="3"/>
      <c r="B32" s="13"/>
      <c r="C32" s="13"/>
      <c r="D32" s="52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</row>
    <row r="33" spans="1:18" ht="15.75" thickBot="1" x14ac:dyDescent="0.3">
      <c r="A33" s="3"/>
      <c r="B33" s="33" t="s">
        <v>25</v>
      </c>
      <c r="C33" s="47">
        <f>+C31+C26+C17</f>
        <v>80373.309000000008</v>
      </c>
      <c r="D33" s="62">
        <f>+D31+D26+D17</f>
        <v>74418.094599999997</v>
      </c>
      <c r="E33" s="62">
        <f>+E31+E26+E17</f>
        <v>91712.071399999986</v>
      </c>
      <c r="F33" s="62">
        <f>+F31+F26+F17</f>
        <v>83992.168600000005</v>
      </c>
      <c r="G33" s="62">
        <f>+G31+G26+G17</f>
        <v>88525.717199999985</v>
      </c>
      <c r="H33" s="62">
        <f>+H31+H26+H17</f>
        <v>100807.5744</v>
      </c>
      <c r="I33" s="49"/>
      <c r="J33" s="49"/>
      <c r="K33" s="49"/>
      <c r="L33" s="69">
        <f>SUM(L13:L32)</f>
        <v>63821.368999999999</v>
      </c>
      <c r="M33" s="69">
        <f>SUM(M13:M32)</f>
        <v>59084.154600000002</v>
      </c>
      <c r="N33" s="69">
        <f>SUM(N13:N32)</f>
        <v>72712.961399999986</v>
      </c>
      <c r="O33" s="69">
        <f>SUM(O13:O32)</f>
        <v>66764.028599999991</v>
      </c>
      <c r="P33" s="69">
        <f>SUM(P13:P32)</f>
        <v>65224.527199999997</v>
      </c>
      <c r="Q33" s="69">
        <f>SUM(Q13:Q32)</f>
        <v>80244.234400000001</v>
      </c>
    </row>
    <row r="34" spans="1:18" ht="15.75" thickBot="1" x14ac:dyDescent="0.3">
      <c r="A34" s="3"/>
      <c r="B34" s="48"/>
      <c r="C34" s="49"/>
      <c r="D34" s="49"/>
      <c r="E34" s="49"/>
      <c r="F34" s="49"/>
      <c r="G34" s="49"/>
      <c r="H34" s="49"/>
      <c r="I34" s="49"/>
      <c r="J34" s="49"/>
      <c r="K34" s="49"/>
      <c r="L34" s="50">
        <f>+L33/C33</f>
        <v>0.79406173260827162</v>
      </c>
      <c r="M34" s="50">
        <f>+M33/D33</f>
        <v>0.79394876901349754</v>
      </c>
      <c r="N34" s="50">
        <f>+N33/E33</f>
        <v>0.7928395934147443</v>
      </c>
      <c r="O34" s="50">
        <f>+O33/F33</f>
        <v>0.79488397207546313</v>
      </c>
      <c r="P34" s="50">
        <f>+P33/G33</f>
        <v>0.73678620476626888</v>
      </c>
      <c r="Q34" s="50">
        <f>+Q33/H33</f>
        <v>0.79601393920653651</v>
      </c>
    </row>
    <row r="35" spans="1:18" x14ac:dyDescent="0.25">
      <c r="A35" s="3"/>
      <c r="B35" s="35"/>
      <c r="C35" s="39"/>
      <c r="D35" s="10"/>
      <c r="E35" s="10"/>
      <c r="F35" s="10"/>
      <c r="G35" s="10"/>
      <c r="H35" s="10"/>
      <c r="I35" s="10"/>
      <c r="J35" s="10"/>
      <c r="K35" s="10"/>
      <c r="L35" s="36">
        <f>+C12</f>
        <v>16090</v>
      </c>
      <c r="M35" s="36">
        <f>+D12</f>
        <v>13211</v>
      </c>
      <c r="N35" s="36">
        <f>+E12</f>
        <v>16099</v>
      </c>
      <c r="O35" s="36">
        <f>+F12</f>
        <v>16251</v>
      </c>
      <c r="P35" s="36">
        <f>+G12</f>
        <v>15752</v>
      </c>
      <c r="Q35" s="36">
        <f>+H12</f>
        <v>19354</v>
      </c>
      <c r="R35" s="37"/>
    </row>
    <row r="36" spans="1:18" x14ac:dyDescent="0.25">
      <c r="B36" s="13" t="s">
        <v>26</v>
      </c>
      <c r="D36" s="11"/>
      <c r="E36" s="11"/>
      <c r="F36" s="11"/>
      <c r="G36" s="11"/>
      <c r="H36" s="11"/>
      <c r="I36" s="11"/>
      <c r="J36" s="11"/>
      <c r="K36" s="11"/>
      <c r="L36" s="29">
        <f>+L33/L35</f>
        <v>3.9665238657551272</v>
      </c>
      <c r="M36" s="29">
        <f>+M33/M35</f>
        <v>4.4723453637120585</v>
      </c>
      <c r="N36" s="29">
        <f>+N33/N35</f>
        <v>4.5166135412137391</v>
      </c>
      <c r="O36" s="29">
        <f>+O33/O35</f>
        <v>4.1083027875207669</v>
      </c>
      <c r="P36" s="29">
        <f>+P33/P35</f>
        <v>4.1407140172676487</v>
      </c>
      <c r="Q36" s="29">
        <f>+Q33/Q35</f>
        <v>4.1461317763769765</v>
      </c>
      <c r="R36" s="12" t="s">
        <v>27</v>
      </c>
    </row>
    <row r="37" spans="1:18" ht="15.75" thickBot="1" x14ac:dyDescent="0.3">
      <c r="B37" s="14" t="s">
        <v>29</v>
      </c>
      <c r="D37" s="15"/>
      <c r="E37" s="15"/>
      <c r="F37" s="15"/>
      <c r="G37" s="15"/>
      <c r="H37" s="15"/>
      <c r="I37" s="15"/>
      <c r="J37" s="15"/>
      <c r="K37" s="15"/>
      <c r="L37" s="38">
        <f>+L36*1.065</f>
        <v>4.2243479170292106</v>
      </c>
      <c r="M37" s="38">
        <f>+M36*1.065</f>
        <v>4.7630478123533422</v>
      </c>
      <c r="N37" s="38">
        <f>+N36*1.065</f>
        <v>4.8101934213926318</v>
      </c>
      <c r="O37" s="38">
        <f>+O36*1.065</f>
        <v>4.3753424687096167</v>
      </c>
      <c r="P37" s="38">
        <f>+P36*1.065</f>
        <v>4.4098604283900453</v>
      </c>
      <c r="Q37" s="38">
        <f>+Q36*1.065</f>
        <v>4.4156303418414797</v>
      </c>
      <c r="R37" s="16" t="s">
        <v>27</v>
      </c>
    </row>
    <row r="38" spans="1:18" x14ac:dyDescent="0.25">
      <c r="N38" s="29"/>
      <c r="O38" s="29"/>
    </row>
    <row r="39" spans="1:18" x14ac:dyDescent="0.25">
      <c r="N39" s="29"/>
      <c r="O39" s="29"/>
    </row>
    <row r="40" spans="1:18" x14ac:dyDescent="0.25">
      <c r="N40" s="29"/>
      <c r="O40" s="29"/>
    </row>
    <row r="41" spans="1:18" x14ac:dyDescent="0.25">
      <c r="N41" s="11"/>
      <c r="O41" s="11"/>
    </row>
    <row r="42" spans="1:18" x14ac:dyDescent="0.25">
      <c r="N42" s="11"/>
      <c r="O42" s="11"/>
    </row>
    <row r="43" spans="1:18" x14ac:dyDescent="0.25">
      <c r="N43" s="11"/>
      <c r="O43" s="11"/>
    </row>
    <row r="44" spans="1:18" x14ac:dyDescent="0.25">
      <c r="N44" s="11"/>
      <c r="O44" s="11"/>
    </row>
    <row r="45" spans="1:18" x14ac:dyDescent="0.25">
      <c r="N45" s="11"/>
      <c r="O45" s="11"/>
    </row>
    <row r="46" spans="1:18" x14ac:dyDescent="0.25">
      <c r="N46" s="11"/>
      <c r="O46" s="11"/>
    </row>
    <row r="47" spans="1:18" x14ac:dyDescent="0.25">
      <c r="N47" s="11"/>
      <c r="O47" s="11"/>
    </row>
    <row r="48" spans="1:18" x14ac:dyDescent="0.25">
      <c r="N48" s="11"/>
      <c r="O48" s="11"/>
    </row>
    <row r="49" spans="14:15" x14ac:dyDescent="0.25">
      <c r="N49" s="11"/>
      <c r="O49" s="11"/>
    </row>
    <row r="50" spans="14:15" x14ac:dyDescent="0.25">
      <c r="N50" s="11"/>
      <c r="O50" s="11"/>
    </row>
    <row r="51" spans="14:15" x14ac:dyDescent="0.25">
      <c r="N51" s="11"/>
      <c r="O51" s="11"/>
    </row>
    <row r="52" spans="14:15" x14ac:dyDescent="0.25">
      <c r="N52" s="11"/>
      <c r="O52" s="11"/>
    </row>
    <row r="53" spans="14:15" x14ac:dyDescent="0.25">
      <c r="N53" s="11"/>
      <c r="O53" s="11"/>
    </row>
    <row r="54" spans="14:15" x14ac:dyDescent="0.25">
      <c r="N54" s="11"/>
      <c r="O54" s="11"/>
    </row>
    <row r="55" spans="14:15" x14ac:dyDescent="0.25">
      <c r="N55" s="11"/>
      <c r="O55" s="11"/>
    </row>
    <row r="56" spans="14:15" x14ac:dyDescent="0.25">
      <c r="N56" s="11"/>
      <c r="O56" s="11"/>
    </row>
    <row r="57" spans="14:15" x14ac:dyDescent="0.25">
      <c r="N57" s="11"/>
      <c r="O57" s="11"/>
    </row>
    <row r="58" spans="14:15" x14ac:dyDescent="0.25">
      <c r="N58" s="69"/>
      <c r="O58" s="69"/>
    </row>
  </sheetData>
  <mergeCells count="1">
    <mergeCell ref="L6:M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B8B98-9685-4023-B895-CF4013034FCB}">
  <dimension ref="B2:K17"/>
  <sheetViews>
    <sheetView showGridLines="0" tabSelected="1" workbookViewId="0">
      <selection activeCell="J18" sqref="J18"/>
    </sheetView>
  </sheetViews>
  <sheetFormatPr baseColWidth="10" defaultRowHeight="15" x14ac:dyDescent="0.25"/>
  <cols>
    <col min="2" max="2" width="14.42578125" customWidth="1"/>
    <col min="3" max="3" width="6" customWidth="1"/>
    <col min="4" max="4" width="12" customWidth="1"/>
    <col min="5" max="5" width="13.85546875" customWidth="1"/>
    <col min="7" max="7" width="21" hidden="1" customWidth="1"/>
    <col min="8" max="8" width="1.5703125" customWidth="1"/>
    <col min="9" max="9" width="11.42578125" style="75"/>
    <col min="10" max="10" width="17.140625" customWidth="1"/>
    <col min="11" max="11" width="13.7109375" customWidth="1"/>
  </cols>
  <sheetData>
    <row r="2" spans="2:11" x14ac:dyDescent="0.25">
      <c r="B2" t="s">
        <v>31</v>
      </c>
    </row>
    <row r="3" spans="2:11" ht="15.75" thickBot="1" x14ac:dyDescent="0.3"/>
    <row r="4" spans="2:11" ht="45.75" thickBot="1" x14ac:dyDescent="0.3">
      <c r="B4" s="5" t="s">
        <v>9</v>
      </c>
      <c r="C4" s="6"/>
      <c r="D4" s="7" t="s">
        <v>7</v>
      </c>
      <c r="E4" s="7" t="s">
        <v>10</v>
      </c>
      <c r="F4" s="6" t="s">
        <v>28</v>
      </c>
      <c r="G4" s="8" t="s">
        <v>30</v>
      </c>
      <c r="I4" s="72" t="s">
        <v>48</v>
      </c>
      <c r="J4" s="71" t="s">
        <v>50</v>
      </c>
    </row>
    <row r="5" spans="2:11" ht="15.75" thickBot="1" x14ac:dyDescent="0.3">
      <c r="B5" s="5"/>
      <c r="C5" s="6"/>
      <c r="D5" s="9" t="s">
        <v>8</v>
      </c>
      <c r="E5" s="7" t="s">
        <v>32</v>
      </c>
      <c r="F5" s="6" t="s">
        <v>33</v>
      </c>
      <c r="G5" s="8" t="s">
        <v>43</v>
      </c>
      <c r="I5" s="73" t="s">
        <v>49</v>
      </c>
      <c r="J5" s="16" t="s">
        <v>51</v>
      </c>
    </row>
    <row r="6" spans="2:11" x14ac:dyDescent="0.25">
      <c r="B6" s="17">
        <v>43173</v>
      </c>
      <c r="C6" s="18"/>
      <c r="D6" s="19">
        <v>0</v>
      </c>
      <c r="E6" s="19"/>
      <c r="F6" s="18"/>
      <c r="G6" s="26"/>
      <c r="I6" s="74"/>
      <c r="J6" s="26"/>
    </row>
    <row r="7" spans="2:11" x14ac:dyDescent="0.25">
      <c r="B7" s="20">
        <v>43216</v>
      </c>
      <c r="C7" s="21"/>
      <c r="D7" s="22">
        <v>1811</v>
      </c>
      <c r="E7" s="22">
        <f>+D7-D6</f>
        <v>1811</v>
      </c>
      <c r="F7" s="23">
        <f>+'Consumo Davitel'!N37</f>
        <v>4.8101934213926318</v>
      </c>
      <c r="G7" s="27">
        <f>+F7*E7*1.21</f>
        <v>10540.624946231888</v>
      </c>
      <c r="I7" s="76">
        <f>+B7-B6</f>
        <v>43</v>
      </c>
      <c r="J7" s="27">
        <f>+E7/I7*30</f>
        <v>1263.4883720930234</v>
      </c>
      <c r="K7" s="93">
        <f t="shared" ref="K7:K10" si="0">+F7*J7*1.21</f>
        <v>7353.9243810920152</v>
      </c>
    </row>
    <row r="8" spans="2:11" x14ac:dyDescent="0.25">
      <c r="B8" s="20">
        <v>43251</v>
      </c>
      <c r="C8" s="21"/>
      <c r="D8" s="22">
        <v>3764</v>
      </c>
      <c r="E8" s="22">
        <f>+D8-D7</f>
        <v>1953</v>
      </c>
      <c r="F8" s="23">
        <f>+'Consumo Davitel'!N37</f>
        <v>4.8101934213926318</v>
      </c>
      <c r="G8" s="27">
        <f t="shared" ref="G8:G9" si="1">+F8*E8*1.21</f>
        <v>11367.112379895569</v>
      </c>
      <c r="I8" s="76">
        <f>+B8-B7</f>
        <v>35</v>
      </c>
      <c r="J8" s="27">
        <f t="shared" ref="J8" si="2">+E8/I8*30</f>
        <v>1674</v>
      </c>
      <c r="K8" s="93">
        <f t="shared" si="0"/>
        <v>9743.2391827676311</v>
      </c>
    </row>
    <row r="9" spans="2:11" x14ac:dyDescent="0.25">
      <c r="B9" s="20">
        <v>43280</v>
      </c>
      <c r="C9" s="21"/>
      <c r="D9" s="22">
        <v>7156</v>
      </c>
      <c r="E9" s="22">
        <f>+D9-D8</f>
        <v>3392</v>
      </c>
      <c r="F9" s="23">
        <f>+'Consumo Davitel'!O37</f>
        <v>4.3753424687096167</v>
      </c>
      <c r="G9" s="27">
        <f t="shared" si="1"/>
        <v>17957.805601174256</v>
      </c>
      <c r="I9" s="76">
        <f t="shared" ref="I9" si="3">+B9-B8</f>
        <v>29</v>
      </c>
      <c r="J9" s="27">
        <f t="shared" ref="J9" si="4">+E9/I9*30</f>
        <v>3508.9655172413795</v>
      </c>
      <c r="K9" s="93">
        <f t="shared" si="0"/>
        <v>18577.040277076816</v>
      </c>
    </row>
    <row r="10" spans="2:11" x14ac:dyDescent="0.25">
      <c r="B10" s="20">
        <v>43307</v>
      </c>
      <c r="C10" s="21"/>
      <c r="D10" s="22">
        <v>10546</v>
      </c>
      <c r="E10" s="22">
        <f>+D10-D9</f>
        <v>3390</v>
      </c>
      <c r="F10" s="23">
        <f>+'Consumo Davitel'!P37</f>
        <v>4.4098604283900453</v>
      </c>
      <c r="G10" s="27"/>
      <c r="I10" s="76">
        <f t="shared" ref="I10" si="5">+B10-B9</f>
        <v>27</v>
      </c>
      <c r="J10" s="27">
        <f t="shared" ref="J10" si="6">+E10/I10*30</f>
        <v>3766.6666666666665</v>
      </c>
      <c r="K10" s="93">
        <f t="shared" si="0"/>
        <v>20098.673879125694</v>
      </c>
    </row>
    <row r="11" spans="2:11" x14ac:dyDescent="0.25">
      <c r="B11" s="87">
        <v>43342</v>
      </c>
      <c r="C11" s="88"/>
      <c r="D11" s="89">
        <v>15065</v>
      </c>
      <c r="E11" s="22">
        <f>+D11-D10</f>
        <v>4519</v>
      </c>
      <c r="F11" s="23">
        <f>+'Consumo Davitel'!Q37</f>
        <v>4.4156303418414797</v>
      </c>
      <c r="G11" s="91"/>
      <c r="I11" s="76">
        <f t="shared" ref="I11" si="7">+B11-B10</f>
        <v>35</v>
      </c>
      <c r="J11" s="27">
        <f t="shared" ref="J11" si="8">+E11/I11*30</f>
        <v>3873.428571428572</v>
      </c>
      <c r="K11" s="93">
        <f>+F11*J11*1.21</f>
        <v>20695.390759616395</v>
      </c>
    </row>
    <row r="12" spans="2:11" x14ac:dyDescent="0.25">
      <c r="B12" s="87"/>
      <c r="C12" s="88"/>
      <c r="D12" s="89"/>
      <c r="E12" s="89"/>
      <c r="F12" s="90"/>
      <c r="G12" s="91"/>
      <c r="I12" s="92"/>
      <c r="J12" s="91"/>
      <c r="K12" s="93"/>
    </row>
    <row r="13" spans="2:11" ht="15.75" thickBot="1" x14ac:dyDescent="0.3">
      <c r="B13" s="24"/>
      <c r="C13" s="25"/>
      <c r="D13" s="25"/>
      <c r="E13" s="25"/>
      <c r="F13" s="25"/>
      <c r="G13" s="28"/>
      <c r="I13" s="77"/>
      <c r="J13" s="28"/>
    </row>
    <row r="14" spans="2:11" ht="15.75" thickBot="1" x14ac:dyDescent="0.3"/>
    <row r="15" spans="2:11" ht="45.75" thickBot="1" x14ac:dyDescent="0.3">
      <c r="C15" s="5" t="s">
        <v>8</v>
      </c>
      <c r="D15" s="9" t="s">
        <v>44</v>
      </c>
      <c r="E15" s="7" t="s">
        <v>47</v>
      </c>
      <c r="F15" s="6" t="s">
        <v>28</v>
      </c>
      <c r="G15" s="10"/>
      <c r="H15" s="10"/>
      <c r="I15" s="79" t="s">
        <v>45</v>
      </c>
    </row>
    <row r="16" spans="2:11" x14ac:dyDescent="0.25">
      <c r="C16" s="35">
        <f>+E11</f>
        <v>4519</v>
      </c>
      <c r="D16" s="80">
        <f>+I11</f>
        <v>35</v>
      </c>
      <c r="E16" s="81">
        <f>+C16/D16*30</f>
        <v>3873.428571428572</v>
      </c>
      <c r="F16" s="84">
        <f>+F11</f>
        <v>4.4156303418414797</v>
      </c>
      <c r="G16" s="11"/>
      <c r="H16" s="11"/>
      <c r="I16" s="82">
        <f>+E16*F10*1.21</f>
        <v>20668.348048999276</v>
      </c>
    </row>
    <row r="17" spans="3:9" ht="15.75" thickBot="1" x14ac:dyDescent="0.3">
      <c r="C17" s="14"/>
      <c r="D17" s="15"/>
      <c r="E17" s="15"/>
      <c r="F17" s="15"/>
      <c r="G17" s="15"/>
      <c r="H17" s="15"/>
      <c r="I17" s="83" t="s">
        <v>46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Consumo Davitel</vt:lpstr>
      <vt:lpstr>Seguimiento Consumo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Lopez</dc:creator>
  <cp:lastModifiedBy>Diego Lopez</cp:lastModifiedBy>
  <dcterms:created xsi:type="dcterms:W3CDTF">2018-04-11T15:55:44Z</dcterms:created>
  <dcterms:modified xsi:type="dcterms:W3CDTF">2018-09-03T17:13:55Z</dcterms:modified>
</cp:coreProperties>
</file>